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25" yWindow="7485" windowWidth="28830" windowHeight="6165" tabRatio="829" firstSheet="2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ТП'!$A$1:$S$22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закупке'!$A$1:$AO$31</definedName>
    <definedName name="_xlnm.Print_Area" localSheetId="11">'8. Общие сведения'!$A$1:$B$104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B26" i="22" l="1"/>
  <c r="B23" i="22"/>
  <c r="B22" i="22"/>
  <c r="B21" i="22"/>
  <c r="E64" i="15" l="1"/>
  <c r="E63" i="15"/>
  <c r="B75" i="22" l="1"/>
  <c r="B74" i="22"/>
  <c r="B32" i="22"/>
  <c r="B29" i="22"/>
  <c r="B30" i="22" s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12" i="16" l="1"/>
  <c r="A11" i="15" l="1"/>
  <c r="A12" i="22" l="1"/>
  <c r="E58" i="15"/>
  <c r="E31" i="15"/>
  <c r="C48" i="7"/>
  <c r="E33" i="15"/>
  <c r="E32" i="15"/>
  <c r="C49" i="7"/>
  <c r="E51" i="15"/>
  <c r="D26" i="15"/>
  <c r="E34" i="15"/>
  <c r="E59" i="15"/>
  <c r="D27" i="15" l="1"/>
  <c r="C29" i="15"/>
  <c r="D25" i="15"/>
  <c r="C28" i="15"/>
  <c r="E29" i="15"/>
  <c r="D29" i="15"/>
  <c r="E28" i="15"/>
  <c r="D28" i="15"/>
  <c r="F26" i="15"/>
  <c r="E26" i="15" s="1"/>
  <c r="F25" i="15"/>
  <c r="E25" i="15" s="1"/>
  <c r="C26" i="15"/>
  <c r="C25" i="15"/>
  <c r="A16" i="28"/>
  <c r="A15" i="26"/>
  <c r="A14" i="27"/>
  <c r="A16" i="25"/>
  <c r="A15" i="23"/>
  <c r="A14" i="24"/>
  <c r="A15" i="6"/>
  <c r="A15" i="16" s="1"/>
  <c r="A14" i="15" s="1"/>
  <c r="A15" i="22" s="1"/>
  <c r="C27" i="15" l="1"/>
  <c r="F27" i="15"/>
  <c r="E27" i="15" s="1"/>
  <c r="B98" i="22"/>
  <c r="E40" i="15"/>
  <c r="E37" i="15"/>
  <c r="E38" i="15"/>
  <c r="E42" i="15"/>
  <c r="E39" i="15"/>
  <c r="E41" i="15"/>
  <c r="E36" i="15"/>
  <c r="E44" i="15" l="1"/>
  <c r="E55" i="15"/>
  <c r="E46" i="15"/>
  <c r="E53" i="15"/>
  <c r="E48" i="15"/>
  <c r="E49" i="15"/>
  <c r="B81" i="22" l="1"/>
  <c r="B80" i="22" s="1"/>
  <c r="E52" i="15" l="1"/>
  <c r="E62" i="15"/>
  <c r="E60" i="15"/>
  <c r="E61" i="15"/>
  <c r="E50" i="15" l="1"/>
  <c r="E56" i="15"/>
  <c r="E45" i="15"/>
  <c r="E47" i="15"/>
  <c r="E54" i="15"/>
  <c r="B79" i="22" l="1"/>
  <c r="B78" i="22" l="1"/>
  <c r="B71" i="22"/>
  <c r="B50" i="22"/>
  <c r="B40" i="22"/>
  <c r="B35" i="22"/>
  <c r="B66" i="22"/>
  <c r="B61" i="22"/>
  <c r="B45" i="22"/>
  <c r="B73" i="22" l="1"/>
  <c r="B69" i="22" s="1"/>
  <c r="D22" i="24" l="1"/>
</calcChain>
</file>

<file path=xl/sharedStrings.xml><?xml version="1.0" encoding="utf-8"?>
<sst xmlns="http://schemas.openxmlformats.org/spreadsheetml/2006/main" count="1312" uniqueCount="537">
  <si>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</si>
  <si>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</si>
  <si>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</si>
  <si>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</si>
  <si>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</si>
  <si>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</si>
  <si>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</si>
  <si>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</si>
  <si>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</si>
  <si>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</si>
  <si>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</si>
  <si>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</si>
  <si>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</si>
  <si>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</si>
  <si>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</si>
  <si>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</si>
  <si>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</si>
  <si>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</si>
  <si>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</si>
  <si>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</si>
  <si>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</si>
  <si>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</si>
  <si>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</si>
  <si>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</si>
  <si>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</si>
  <si>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</si>
  <si>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</si>
  <si>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</si>
  <si>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</si>
  <si>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</si>
  <si>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</si>
  <si>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</si>
  <si>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</si>
  <si>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</si>
  <si>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</si>
  <si>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</si>
  <si>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</si>
  <si>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</si>
  <si>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</si>
  <si>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</si>
  <si>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</si>
  <si>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</si>
  <si>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</si>
  <si>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</si>
  <si>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</si>
  <si>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</si>
  <si>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</si>
  <si>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</si>
  <si>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</si>
  <si>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</si>
  <si>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</si>
  <si>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</si>
  <si>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</si>
  <si>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</si>
  <si>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</si>
  <si>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</si>
  <si>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</si>
  <si>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</si>
  <si>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</si>
  <si>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</si>
  <si>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</si>
  <si>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</si>
  <si>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</si>
  <si>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</si>
  <si>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</si>
  <si>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</si>
  <si>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</si>
  <si>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</si>
  <si>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</si>
  <si>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</si>
  <si>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</si>
  <si>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</si>
  <si>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</si>
  <si>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</si>
  <si>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</si>
  <si>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</si>
  <si>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</si>
  <si>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</si>
  <si>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</si>
  <si>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</si>
  <si>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</si>
  <si>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</si>
  <si>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</si>
  <si>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</si>
  <si>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</si>
  <si>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</si>
  <si>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</si>
  <si>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</si>
  <si>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</si>
  <si>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</si>
  <si>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</si>
  <si>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</si>
  <si>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</si>
  <si>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</si>
  <si>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</si>
  <si>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</si>
  <si>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</si>
  <si>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</si>
  <si>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</si>
  <si>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</si>
  <si>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</si>
  <si>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</si>
  <si>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</si>
  <si>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</si>
  <si>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</si>
  <si>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</si>
  <si>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</si>
  <si>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</si>
  <si>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</si>
  <si>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</si>
  <si>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</si>
  <si>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</si>
  <si>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</si>
  <si>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</si>
  <si>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</si>
  <si>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</si>
  <si>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</si>
  <si>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</si>
  <si>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</si>
  <si>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</si>
  <si>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</si>
  <si>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</si>
  <si>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</si>
  <si>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</si>
  <si>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</si>
  <si>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</si>
  <si>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</si>
  <si>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</si>
  <si>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</si>
  <si>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</si>
  <si>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</si>
  <si>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</si>
  <si>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</si>
  <si>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</si>
  <si>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</si>
  <si>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</si>
  <si>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</si>
  <si>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</si>
  <si>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</si>
  <si>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</si>
  <si>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</si>
  <si>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</si>
  <si>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</si>
  <si>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</si>
  <si>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</si>
  <si>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</si>
  <si>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</si>
  <si>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</si>
  <si>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</si>
  <si>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</si>
  <si>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</si>
  <si>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</si>
  <si>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</si>
  <si>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</si>
  <si>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</si>
  <si>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</si>
  <si>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</si>
  <si>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</si>
  <si>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</si>
  <si>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</si>
  <si>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</si>
  <si>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</si>
  <si>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</si>
  <si>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</si>
  <si>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</si>
  <si>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</si>
  <si>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</si>
  <si>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</si>
  <si>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</si>
  <si>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</si>
  <si>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</si>
  <si>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</si>
  <si>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</si>
  <si>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</si>
  <si>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</si>
  <si>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</si>
  <si>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</si>
  <si>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</si>
  <si>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</si>
  <si>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</si>
  <si>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</si>
  <si>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</si>
  <si>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</si>
  <si>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</si>
  <si>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</si>
  <si>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</si>
  <si>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</si>
  <si>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</si>
  <si>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</si>
  <si>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</si>
  <si>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</si>
  <si>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</si>
  <si>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</si>
  <si>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</si>
  <si>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</si>
  <si>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</si>
  <si>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</si>
  <si>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</si>
  <si>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</si>
  <si>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</si>
  <si>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</si>
  <si>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</si>
  <si>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</si>
  <si>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</si>
  <si>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</si>
  <si>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</si>
  <si>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</si>
  <si>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</si>
  <si>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</si>
  <si>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</si>
  <si>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</si>
  <si>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</si>
  <si>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</si>
  <si>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</si>
  <si>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</si>
  <si>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</si>
  <si>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</si>
  <si>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</si>
  <si>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</si>
  <si>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</si>
  <si>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</si>
  <si>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</si>
  <si>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</si>
  <si>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</si>
  <si>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</si>
  <si>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</si>
  <si>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</si>
  <si>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</si>
  <si>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</si>
  <si>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</si>
  <si>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</si>
  <si>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</si>
  <si>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</si>
  <si>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</si>
  <si>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</si>
  <si>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</si>
  <si>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</si>
  <si>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</si>
  <si>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</si>
  <si>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</si>
  <si>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</si>
  <si>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</si>
  <si>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</si>
  <si>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</si>
  <si>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</si>
  <si>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</si>
  <si>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</si>
  <si>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</si>
  <si>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</si>
  <si>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</si>
  <si>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</si>
  <si>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</si>
  <si>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</si>
  <si>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</si>
  <si>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</si>
  <si>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</si>
  <si>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</si>
  <si>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</si>
  <si>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</si>
  <si>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</si>
  <si>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</si>
  <si>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</si>
  <si>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</si>
  <si>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</si>
  <si>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</si>
  <si>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</si>
  <si>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</si>
  <si>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</si>
  <si>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</si>
  <si>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</si>
  <si>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</si>
  <si>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</si>
  <si>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</si>
  <si>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</si>
  <si>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</si>
  <si>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</si>
  <si>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</si>
  <si>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</si>
  <si>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</si>
  <si>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</si>
  <si>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</si>
  <si>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</si>
  <si>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</si>
  <si>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</si>
  <si>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</si>
  <si>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</si>
  <si>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</si>
  <si>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</si>
  <si>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</si>
  <si>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</si>
  <si>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</si>
  <si>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</si>
  <si>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</si>
  <si>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 xml:space="preserve">Комплекс производственно - административного здания состоит из, трех самостоятельных функциональных блоков с общими размерами в плане 102,3х15,0 м, разделен ных между собой антисейсмическими швами.
Блок №1- производственный - четырехэтажное здание прямоугольной формы с размерами 22,0 х15,0 м. Высота этажей - 4,2 м, высота техподполья - 2,1м, технического этажа - 2,4м. Блок обо рудован грузопассажирским лифтом. Производственный блок включает в себя помещения УКС (управления капитального строительства) и служб энергосбыта.
Блок №2 - административно-производственный - пятиэтажное здание прямоугольной формы с размерами 27,6 х 15,0 м. Высота этажей - 4,2 м, высота техподполья  - 2,1 м. Блок оборудован пассажирским лифтом. Административно -производственный блок включает в себя помещения входной группы, здравпункта, дирекции и управленческого  аппарата, диспетчерских служб и непосредственно диспетчерского зала, расположенного на пятом этаже.
Блок №3 - производственно - лабораторный - четырехэтажное здание прямоугольной формы с размерами 22,0х15,0 м. Высота этажей - 4,2 м, высота техподполья - 2,1 м, технического этажа - 2,4 м. Производственно - лабораторный блок  включает в себя  помещения лабораторий,  производственных и частично административно - управленческих служб.
Стены и перекрытия ИП выполнены на  - 70%.
</t>
  </si>
  <si>
    <t>СМР, ПИР</t>
  </si>
  <si>
    <t>ПАО "МРСК Северного Кавказа"</t>
  </si>
  <si>
    <t>электронные торги</t>
  </si>
  <si>
    <t>100593,36;    101629,47</t>
  </si>
  <si>
    <t>100483,14;     101629,47</t>
  </si>
  <si>
    <t>ООО "Успех"</t>
  </si>
  <si>
    <t>02.09.2013 г.</t>
  </si>
  <si>
    <t>31.12.2013 г.</t>
  </si>
  <si>
    <t>49053,11;     49118,63</t>
  </si>
  <si>
    <t>49037,25;     49118,63</t>
  </si>
  <si>
    <t>28.05.2014 г.</t>
  </si>
  <si>
    <t>31.12.2014 г.</t>
  </si>
  <si>
    <t>№39825</t>
  </si>
  <si>
    <t>№36347</t>
  </si>
  <si>
    <t>26.05.2014 г.</t>
  </si>
  <si>
    <t>СМР</t>
  </si>
  <si>
    <t>966,17; 997,77</t>
  </si>
  <si>
    <t>№529148</t>
  </si>
  <si>
    <t>22.07.2015 г.</t>
  </si>
  <si>
    <t>01.09.2015 г.</t>
  </si>
  <si>
    <t>22.08.2015 г.</t>
  </si>
  <si>
    <t>31.12.2015 г.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</si>
  <si>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</si>
  <si>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</si>
  <si>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</si>
  <si>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</si>
  <si>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</si>
  <si>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</si>
  <si>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</si>
  <si>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</si>
  <si>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</si>
  <si>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</si>
  <si>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</si>
  <si>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</si>
  <si>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</si>
  <si>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</si>
  <si>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</si>
  <si>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</si>
  <si>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</si>
  <si>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</si>
  <si>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</si>
  <si>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</si>
  <si>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</si>
  <si>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</si>
  <si>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</si>
  <si>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</si>
  <si>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</si>
  <si>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</si>
  <si>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</si>
  <si>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</si>
  <si>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</si>
  <si>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</si>
  <si>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</si>
  <si>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</si>
  <si>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</si>
  <si>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</si>
  <si>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</si>
  <si>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</si>
  <si>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</si>
  <si>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</si>
  <si>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</si>
  <si>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</si>
  <si>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</si>
  <si>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</si>
  <si>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</si>
  <si>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</si>
  <si>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</si>
  <si>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</si>
  <si>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</si>
  <si>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</si>
  <si>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</si>
  <si>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</si>
  <si>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</si>
  <si>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</si>
  <si>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</si>
  <si>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</si>
  <si>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</si>
  <si>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</si>
  <si>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</si>
  <si>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</si>
  <si>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</si>
  <si>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</si>
  <si>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</si>
  <si>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</si>
  <si>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</si>
  <si>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</si>
  <si>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</si>
  <si>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</si>
  <si>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</si>
  <si>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</si>
  <si>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</si>
  <si>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</si>
  <si>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</si>
  <si>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</si>
  <si>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</si>
  <si>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</si>
  <si>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</si>
  <si>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</si>
  <si>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</si>
  <si>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</si>
  <si>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</si>
  <si>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</si>
  <si>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</si>
  <si>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</si>
  <si>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</si>
  <si>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</si>
  <si>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</si>
  <si>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</si>
  <si>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</si>
  <si>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</si>
  <si>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</si>
  <si>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</si>
  <si>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</si>
  <si>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</si>
  <si>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</si>
  <si>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</si>
  <si>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</si>
  <si>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</si>
  <si>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</si>
  <si>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</si>
  <si>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</si>
  <si>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</si>
  <si>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</si>
  <si>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</si>
  <si>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</si>
  <si>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</si>
  <si>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</si>
  <si>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</si>
  <si>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</si>
  <si>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</si>
  <si>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</si>
  <si>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</si>
  <si>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</si>
  <si>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</si>
  <si>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</si>
  <si>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</si>
  <si>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</si>
  <si>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</si>
  <si>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</si>
  <si>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</si>
  <si>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</si>
  <si>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</si>
  <si>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</si>
  <si>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</si>
  <si>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</si>
  <si>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</si>
  <si>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</si>
  <si>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</si>
  <si>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</si>
  <si>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</si>
  <si>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</si>
  <si>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</si>
  <si>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</si>
  <si>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</si>
  <si>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</si>
  <si>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</si>
  <si>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</si>
  <si>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</si>
  <si>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</si>
  <si>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</si>
  <si>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</si>
  <si>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</si>
  <si>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</si>
  <si>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</si>
  <si>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</si>
  <si>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</si>
  <si>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</si>
  <si>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</si>
  <si>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</si>
  <si>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</si>
  <si>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</si>
  <si>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</si>
  <si>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</si>
  <si>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</si>
  <si>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</si>
  <si>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</si>
  <si>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</si>
  <si>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F_prj_109108_5385</t>
  </si>
  <si>
    <t>Строительство производственно-административного здания АО "Чеченэнерго"</t>
  </si>
  <si>
    <t>объем заключенного договора в ценах __2013___ года с НДС, млн. руб.</t>
  </si>
  <si>
    <t>объем заключенного договора в ценах _2014____ года с НДС, млн. руб.</t>
  </si>
  <si>
    <t>объем заключенного договора в ценах __2015___ года с НДС, млн. руб.</t>
  </si>
  <si>
    <t>ООО "Успех" № 01/09-2013-ПАЗ</t>
  </si>
  <si>
    <t>ООО "Успех" № 01/2014-ЧЭ</t>
  </si>
  <si>
    <t>ООО "Успех" № 6/2015/СМР-ООО "Успех"</t>
  </si>
  <si>
    <t>объем заключенного договора в ценах __2013____ года с НДС, млн. руб.</t>
  </si>
  <si>
    <t>ФГУП Электросвязь № 003/ТУ от 10.11.2013 г.</t>
  </si>
  <si>
    <t>объем заключенного договора в ценах ___2013___ года с НДС, млн. руб.</t>
  </si>
  <si>
    <t xml:space="preserve">ООО "Земля" № 3020 </t>
  </si>
  <si>
    <t xml:space="preserve">ООО предприятие "Успех" </t>
  </si>
  <si>
    <t>прочие</t>
  </si>
  <si>
    <t>ФГУП Электросвязь</t>
  </si>
  <si>
    <t>ООО "Земля"</t>
  </si>
  <si>
    <t>10.11.2013г.</t>
  </si>
  <si>
    <t>11.11.2013г.</t>
  </si>
  <si>
    <t>торги не проводились</t>
  </si>
  <si>
    <t>249957,65  250000,00</t>
  </si>
  <si>
    <t>ООО Евро-Телеком"</t>
  </si>
  <si>
    <t xml:space="preserve">ООО "Теплицстройсервис" </t>
  </si>
  <si>
    <t>№ 857842</t>
  </si>
  <si>
    <t>ООО "Теплицстройсервис"№ 55-17-ЧечЭ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</si>
  <si>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</si>
  <si>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</si>
  <si>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</si>
  <si>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</si>
  <si>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 xml:space="preserve">2019 год 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</si>
  <si>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</si>
  <si>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</si>
  <si>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</si>
  <si>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 Инвестиции, связанные с деятельностью, не относящейся к сфере электроэнергетики.</t>
  </si>
  <si>
    <t>06.2019/12.2019</t>
  </si>
  <si>
    <t>Услуги</t>
  </si>
  <si>
    <t>www.b2b-mrsk.ru</t>
  </si>
  <si>
    <t>ООО "Лидер"</t>
  </si>
  <si>
    <t>ССР</t>
  </si>
  <si>
    <t>1. Строительсьво</t>
  </si>
  <si>
    <t>ООО "Успех"/   ООО "Лидер"</t>
  </si>
  <si>
    <t>ООО "Теплицстройсервис" / ООО Евро-Телеком"</t>
  </si>
  <si>
    <t>ОК</t>
  </si>
  <si>
    <t>Объем выполненных работ в сумме 70,53 млн.руб.  был получен в качестве взноса в уставный капитал АО "Чеченэнерго" от ПАО "Россети"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</si>
  <si>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</si>
  <si>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</si>
  <si>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</si>
  <si>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Объект исключен из плана ИПР в соответствии с п.11 протокола согласительного совещания в Минэнерго России от 18.09.2018 №09-2106-пр/ВК. Объем сметной стоимости отражен в объеме фактически произведенных затрат.</t>
  </si>
  <si>
    <t>Прочие инвестиционные проекты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</si>
  <si>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деятельности.</t>
  </si>
  <si>
    <t>не применимо</t>
  </si>
  <si>
    <t>Чеченская Республика</t>
  </si>
  <si>
    <t>г. Грозный</t>
  </si>
  <si>
    <t>+</t>
  </si>
  <si>
    <t>региональный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</si>
  <si>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 - 1,1 млн.руб.</t>
  </si>
  <si>
    <t>не предусмотрен</t>
  </si>
  <si>
    <t>не проводились</t>
  </si>
  <si>
    <t>Исполнение Приказа № 208 от 30.05.2013 г. Мероприятия по завершению строительства ПАЗ включены в План развития группы МРСК "Северного Кавказа" и утверждены решением Совета директоров ПАО "Россети" от 30.07.2017 №270. Обеспечение текущей деятельности в сфере электроэнергетики, хозяйственное обеспечение деятельности</t>
  </si>
  <si>
    <t>Строительство производственно-административного здания (ПАЗ) позволит улучшить условия размещения персонала в целях оптимизации производственного процесса по обеспечению электроэнергией потребителей АО "Чеченэнерго"</t>
  </si>
  <si>
    <t>не расчитывается</t>
  </si>
  <si>
    <t>Факт 2018 года</t>
  </si>
  <si>
    <t xml:space="preserve"> по состоянию на 01.01.2018</t>
  </si>
  <si>
    <t>по состоянию на 01.01.2019</t>
  </si>
  <si>
    <t>Итого за год (нарастающим итогом)</t>
  </si>
  <si>
    <t>за отчетный квартал</t>
  </si>
  <si>
    <t>Год раскрытия информации: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</si>
</sst>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0.0%"/>
    <numFmt numFmtId="170" formatCode="0.000%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5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6" fillId="0" borderId="0"/>
    <xf numFmtId="0" fontId="10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5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6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0" fontId="66" fillId="0" borderId="0" applyNumberFormat="0" applyFill="0" applyBorder="0" applyAlignment="0" applyProtection="0"/>
  </cellStyleXfs>
  <cellXfs count="332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41" fillId="0" borderId="10" xfId="49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41" fillId="0" borderId="12" xfId="49" applyFont="1" applyFill="1" applyBorder="1" applyAlignment="1">
      <alignment horizontal="left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3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2" fontId="39" fillId="0" borderId="10" xfId="43" applyNumberFormat="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5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4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57" fillId="0" borderId="0" xfId="57" applyFill="1" applyBorder="1"/>
    <xf numFmtId="0" fontId="57" fillId="0" borderId="0" xfId="57" applyFill="1"/>
    <xf numFmtId="1" fontId="10" fillId="0" borderId="10" xfId="43" applyNumberFormat="1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left" vertical="center" wrapText="1"/>
    </xf>
    <xf numFmtId="168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9" fillId="0" borderId="10" xfId="57" applyNumberFormat="1" applyFont="1" applyFill="1" applyBorder="1" applyAlignment="1">
      <alignment vertical="center"/>
    </xf>
    <xf numFmtId="0" fontId="59" fillId="0" borderId="11" xfId="57" applyFont="1" applyFill="1" applyBorder="1" applyAlignment="1">
      <alignment vertical="center" wrapText="1"/>
    </xf>
    <xf numFmtId="0" fontId="59" fillId="0" borderId="10" xfId="57" applyFont="1" applyFill="1" applyBorder="1" applyAlignment="1">
      <alignment horizontal="left" vertical="center" wrapText="1"/>
    </xf>
    <xf numFmtId="0" fontId="63" fillId="0" borderId="11" xfId="57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/>
    </xf>
    <xf numFmtId="0" fontId="38" fillId="0" borderId="19" xfId="43" applyFont="1" applyFill="1" applyBorder="1" applyAlignment="1">
      <alignment horizontal="justify" vertical="top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9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9" fillId="0" borderId="0" xfId="57" applyFont="1" applyFill="1" applyAlignment="1">
      <alignment vertical="center"/>
    </xf>
    <xf numFmtId="0" fontId="59" fillId="0" borderId="10" xfId="57" applyFont="1" applyFill="1" applyBorder="1" applyAlignment="1">
      <alignment vertical="center" wrapText="1"/>
    </xf>
    <xf numFmtId="0" fontId="59" fillId="0" borderId="11" xfId="57" applyFont="1" applyFill="1" applyBorder="1" applyAlignment="1">
      <alignment horizontal="center" vertical="center" wrapText="1"/>
    </xf>
    <xf numFmtId="0" fontId="59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9" fillId="0" borderId="11" xfId="57" applyFont="1" applyFill="1" applyBorder="1" applyAlignment="1">
      <alignment horizontal="left" vertical="center" wrapText="1"/>
    </xf>
    <xf numFmtId="2" fontId="59" fillId="0" borderId="10" xfId="57" applyNumberFormat="1" applyFont="1" applyFill="1" applyBorder="1" applyAlignment="1">
      <alignment horizontal="left" vertical="center"/>
    </xf>
    <xf numFmtId="0" fontId="60" fillId="0" borderId="0" xfId="57" applyFont="1" applyFill="1" applyBorder="1"/>
    <xf numFmtId="2" fontId="45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8" fillId="0" borderId="17" xfId="43" applyFont="1" applyFill="1" applyBorder="1" applyAlignment="1">
      <alignment horizontal="justify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17" xfId="43" applyFont="1" applyFill="1" applyBorder="1" applyAlignment="1">
      <alignment vertical="top" wrapText="1"/>
    </xf>
    <xf numFmtId="0" fontId="38" fillId="0" borderId="19" xfId="43" applyFont="1" applyFill="1" applyBorder="1" applyAlignment="1">
      <alignment vertical="top" wrapText="1"/>
    </xf>
    <xf numFmtId="0" fontId="38" fillId="0" borderId="0" xfId="43" applyFont="1" applyFill="1" applyBorder="1" applyAlignment="1">
      <alignment horizontal="justify" vertical="top" wrapText="1"/>
    </xf>
    <xf numFmtId="0" fontId="37" fillId="0" borderId="17" xfId="43" applyFont="1" applyFill="1" applyBorder="1" applyAlignment="1">
      <alignment horizontal="justify" vertical="top" wrapText="1"/>
    </xf>
    <xf numFmtId="0" fontId="38" fillId="0" borderId="17" xfId="43" applyFont="1" applyFill="1" applyBorder="1" applyAlignment="1">
      <alignment horizontal="justify" vertical="top" wrapText="1"/>
    </xf>
    <xf numFmtId="168" fontId="37" fillId="0" borderId="17" xfId="43" applyNumberFormat="1" applyFont="1" applyFill="1" applyBorder="1" applyAlignment="1">
      <alignment horizontal="justify" vertical="top" wrapText="1"/>
    </xf>
    <xf numFmtId="2" fontId="37" fillId="0" borderId="17" xfId="43" applyNumberFormat="1" applyFont="1" applyFill="1" applyBorder="1" applyAlignment="1">
      <alignment horizontal="justify" vertical="top" wrapText="1"/>
    </xf>
    <xf numFmtId="2" fontId="38" fillId="0" borderId="17" xfId="43" applyNumberFormat="1" applyFont="1" applyFill="1" applyBorder="1" applyAlignment="1">
      <alignment horizontal="justify" vertical="top" wrapText="1"/>
    </xf>
    <xf numFmtId="0" fontId="37" fillId="0" borderId="18" xfId="43" applyFont="1" applyFill="1" applyBorder="1" applyAlignment="1">
      <alignment horizontal="justify"/>
    </xf>
    <xf numFmtId="0" fontId="38" fillId="0" borderId="18" xfId="43" applyFont="1" applyFill="1" applyBorder="1" applyAlignment="1">
      <alignment horizontal="justify" vertical="top" wrapText="1"/>
    </xf>
    <xf numFmtId="0" fontId="37" fillId="0" borderId="18" xfId="43" applyFont="1" applyFill="1" applyBorder="1" applyAlignment="1">
      <alignment horizontal="justify" vertical="top" wrapText="1"/>
    </xf>
    <xf numFmtId="0" fontId="38" fillId="0" borderId="20" xfId="43" applyFont="1" applyFill="1" applyBorder="1" applyAlignment="1">
      <alignment horizontal="justify"/>
    </xf>
    <xf numFmtId="0" fontId="38" fillId="0" borderId="18" xfId="43" applyFont="1" applyFill="1" applyBorder="1" applyAlignment="1">
      <alignment vertical="top" wrapText="1"/>
    </xf>
    <xf numFmtId="0" fontId="37" fillId="0" borderId="20" xfId="43" quotePrefix="1" applyFont="1" applyFill="1" applyBorder="1" applyAlignment="1">
      <alignment horizontal="justify" vertical="top" wrapText="1"/>
    </xf>
    <xf numFmtId="0" fontId="37" fillId="0" borderId="18" xfId="43" applyFont="1" applyFill="1" applyBorder="1" applyAlignment="1">
      <alignment vertical="top" wrapText="1"/>
    </xf>
    <xf numFmtId="0" fontId="38" fillId="0" borderId="18" xfId="43" applyFont="1" applyFill="1" applyBorder="1" applyAlignment="1">
      <alignment vertical="center" wrapText="1"/>
    </xf>
    <xf numFmtId="0" fontId="37" fillId="0" borderId="22" xfId="43" applyFont="1" applyFill="1" applyBorder="1" applyAlignment="1">
      <alignment vertical="center" wrapText="1"/>
    </xf>
    <xf numFmtId="0" fontId="37" fillId="0" borderId="22" xfId="43" applyFont="1" applyFill="1" applyBorder="1" applyAlignment="1">
      <alignment vertical="top" wrapText="1"/>
    </xf>
    <xf numFmtId="0" fontId="37" fillId="0" borderId="19" xfId="43" applyFont="1" applyFill="1" applyBorder="1" applyAlignment="1">
      <alignment vertical="center" wrapText="1"/>
    </xf>
    <xf numFmtId="0" fontId="37" fillId="0" borderId="19" xfId="43" applyFont="1" applyFill="1" applyBorder="1" applyAlignment="1">
      <alignment vertical="top" wrapText="1"/>
    </xf>
    <xf numFmtId="0" fontId="37" fillId="0" borderId="17" xfId="43" applyFont="1" applyFill="1" applyBorder="1" applyAlignment="1">
      <alignment vertical="top" wrapText="1"/>
    </xf>
    <xf numFmtId="0" fontId="38" fillId="0" borderId="18" xfId="43" applyFont="1" applyFill="1" applyBorder="1" applyAlignment="1">
      <alignment horizontal="left" vertical="center" wrapText="1"/>
    </xf>
    <xf numFmtId="0" fontId="37" fillId="0" borderId="21" xfId="43" applyFont="1" applyFill="1" applyBorder="1" applyAlignment="1">
      <alignment horizontal="justify" vertical="top" wrapText="1"/>
    </xf>
    <xf numFmtId="0" fontId="38" fillId="0" borderId="18" xfId="43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vertical="top" wrapText="1"/>
    </xf>
    <xf numFmtId="0" fontId="37" fillId="0" borderId="19" xfId="43" applyFont="1" applyFill="1" applyBorder="1"/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1" fontId="34" fillId="0" borderId="10" xfId="53" applyNumberFormat="1" applyFont="1" applyFill="1" applyBorder="1" applyAlignment="1">
      <alignment horizontal="center" vertical="center" wrapText="1"/>
    </xf>
    <xf numFmtId="49" fontId="34" fillId="0" borderId="10" xfId="53" applyNumberFormat="1" applyFont="1" applyFill="1" applyBorder="1" applyAlignment="1">
      <alignment horizontal="center" vertical="center" wrapText="1"/>
    </xf>
    <xf numFmtId="167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14" fontId="34" fillId="0" borderId="10" xfId="53" applyNumberFormat="1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vertical="center" wrapText="1"/>
    </xf>
    <xf numFmtId="49" fontId="34" fillId="0" borderId="14" xfId="53" applyNumberFormat="1" applyFont="1" applyFill="1" applyBorder="1" applyAlignment="1">
      <alignment horizontal="center" vertical="center" wrapText="1"/>
    </xf>
    <xf numFmtId="1" fontId="34" fillId="0" borderId="14" xfId="53" applyNumberFormat="1" applyFont="1" applyFill="1" applyBorder="1" applyAlignment="1">
      <alignment horizontal="center" vertical="center" wrapText="1"/>
    </xf>
    <xf numFmtId="167" fontId="34" fillId="0" borderId="14" xfId="53" applyNumberFormat="1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4" fontId="34" fillId="0" borderId="10" xfId="53" applyNumberFormat="1" applyFont="1" applyFill="1" applyBorder="1" applyAlignment="1">
      <alignment horizontal="center" vertical="center"/>
    </xf>
    <xf numFmtId="14" fontId="34" fillId="0" borderId="10" xfId="53" applyNumberFormat="1" applyFont="1" applyFill="1" applyBorder="1" applyAlignment="1">
      <alignment horizontal="center" vertical="center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50" fillId="0" borderId="0" xfId="41" applyFont="1" applyFill="1" applyAlignment="1">
      <alignment horizontal="left"/>
    </xf>
    <xf numFmtId="0" fontId="49" fillId="0" borderId="0" xfId="41" applyFont="1" applyFill="1" applyAlignment="1">
      <alignment horizontal="left"/>
    </xf>
    <xf numFmtId="0" fontId="49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58" fillId="0" borderId="11" xfId="57" applyFont="1" applyFill="1" applyBorder="1" applyAlignment="1">
      <alignment horizontal="center" vertical="center" wrapText="1"/>
    </xf>
    <xf numFmtId="2" fontId="58" fillId="0" borderId="11" xfId="57" applyNumberFormat="1" applyFont="1" applyFill="1" applyBorder="1" applyAlignment="1">
      <alignment horizontal="center" vertical="center" wrapText="1"/>
    </xf>
    <xf numFmtId="0" fontId="64" fillId="0" borderId="0" xfId="57" applyFont="1" applyFill="1" applyBorder="1" applyAlignment="1">
      <alignment horizontal="center" vertical="center"/>
    </xf>
    <xf numFmtId="0" fontId="65" fillId="0" borderId="0" xfId="57" applyFont="1" applyFill="1" applyBorder="1"/>
    <xf numFmtId="0" fontId="65" fillId="0" borderId="0" xfId="57" applyFont="1" applyFill="1"/>
    <xf numFmtId="0" fontId="64" fillId="0" borderId="10" xfId="57" applyFont="1" applyFill="1" applyBorder="1" applyAlignment="1">
      <alignment horizontal="center" vertical="center"/>
    </xf>
    <xf numFmtId="0" fontId="62" fillId="0" borderId="10" xfId="57" applyFont="1" applyFill="1" applyBorder="1" applyAlignment="1">
      <alignment horizontal="center" vertical="center"/>
    </xf>
    <xf numFmtId="0" fontId="62" fillId="0" borderId="11" xfId="57" applyFont="1" applyFill="1" applyBorder="1" applyAlignment="1">
      <alignment horizontal="center" vertical="center"/>
    </xf>
    <xf numFmtId="0" fontId="57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34" fillId="0" borderId="10" xfId="53" applyNumberFormat="1" applyFont="1" applyFill="1" applyBorder="1" applyAlignment="1">
      <alignment horizontal="center" vertical="center" wrapText="1"/>
    </xf>
    <xf numFmtId="2" fontId="34" fillId="0" borderId="14" xfId="53" applyNumberFormat="1" applyFont="1" applyFill="1" applyBorder="1" applyAlignment="1">
      <alignment horizontal="center" vertical="center" wrapText="1"/>
    </xf>
    <xf numFmtId="2" fontId="34" fillId="0" borderId="10" xfId="53" applyNumberFormat="1" applyFont="1" applyFill="1" applyBorder="1" applyAlignment="1">
      <alignment horizontal="center" vertical="center"/>
    </xf>
    <xf numFmtId="9" fontId="37" fillId="0" borderId="20" xfId="43" quotePrefix="1" applyNumberFormat="1" applyFont="1" applyFill="1" applyBorder="1" applyAlignment="1">
      <alignment horizontal="justify" vertical="top" wrapText="1"/>
    </xf>
    <xf numFmtId="9" fontId="37" fillId="0" borderId="18" xfId="65" applyFont="1" applyFill="1" applyBorder="1" applyAlignment="1">
      <alignment horizontal="justify"/>
    </xf>
    <xf numFmtId="4" fontId="34" fillId="0" borderId="14" xfId="53" applyNumberFormat="1" applyFont="1" applyFill="1" applyBorder="1" applyAlignment="1">
      <alignment horizontal="center" vertical="center" wrapText="1"/>
    </xf>
    <xf numFmtId="49" fontId="66" fillId="0" borderId="14" xfId="76" applyNumberFormat="1" applyFill="1" applyBorder="1" applyAlignment="1">
      <alignment horizontal="center" vertical="center" wrapText="1"/>
    </xf>
    <xf numFmtId="4" fontId="37" fillId="0" borderId="10" xfId="5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9" fontId="37" fillId="0" borderId="17" xfId="65" applyFont="1" applyFill="1" applyBorder="1" applyAlignment="1">
      <alignment horizontal="justify" vertical="top" wrapText="1"/>
    </xf>
    <xf numFmtId="169" fontId="37" fillId="0" borderId="17" xfId="65" applyNumberFormat="1" applyFont="1" applyFill="1" applyBorder="1" applyAlignment="1">
      <alignment horizontal="justify" vertical="top" wrapText="1"/>
    </xf>
    <xf numFmtId="168" fontId="37" fillId="0" borderId="18" xfId="43" applyNumberFormat="1" applyFont="1" applyFill="1" applyBorder="1" applyAlignment="1">
      <alignment horizontal="justify"/>
    </xf>
    <xf numFmtId="170" fontId="37" fillId="0" borderId="18" xfId="65" applyNumberFormat="1" applyFont="1" applyFill="1" applyBorder="1" applyAlignment="1">
      <alignment horizontal="justify"/>
    </xf>
    <xf numFmtId="168" fontId="37" fillId="0" borderId="20" xfId="43" applyNumberFormat="1" applyFont="1" applyFill="1" applyBorder="1" applyAlignment="1">
      <alignment horizontal="justify"/>
    </xf>
    <xf numFmtId="170" fontId="37" fillId="0" borderId="20" xfId="65" applyNumberFormat="1" applyFont="1" applyFill="1" applyBorder="1" applyAlignment="1">
      <alignment horizontal="justify"/>
    </xf>
    <xf numFmtId="9" fontId="37" fillId="0" borderId="37" xfId="65" applyFont="1" applyFill="1" applyBorder="1" applyAlignment="1">
      <alignment horizontal="justify"/>
    </xf>
    <xf numFmtId="2" fontId="37" fillId="0" borderId="38" xfId="65" applyNumberFormat="1" applyFont="1" applyFill="1" applyBorder="1" applyAlignment="1">
      <alignment horizontal="justify"/>
    </xf>
    <xf numFmtId="1" fontId="37" fillId="0" borderId="38" xfId="65" applyNumberFormat="1" applyFont="1" applyFill="1" applyBorder="1" applyAlignment="1">
      <alignment horizontal="justify"/>
    </xf>
    <xf numFmtId="0" fontId="10" fillId="0" borderId="0" xfId="43" applyFill="1" applyAlignment="1">
      <alignment wrapText="1"/>
    </xf>
    <xf numFmtId="9" fontId="37" fillId="0" borderId="38" xfId="43" applyNumberFormat="1" applyFont="1" applyFill="1" applyBorder="1" applyAlignment="1">
      <alignment horizontal="justify" vertical="top" wrapText="1"/>
    </xf>
    <xf numFmtId="2" fontId="37" fillId="0" borderId="38" xfId="43" applyNumberFormat="1" applyFont="1" applyFill="1" applyBorder="1" applyAlignment="1">
      <alignment horizontal="justify" vertical="top" wrapText="1"/>
    </xf>
    <xf numFmtId="2" fontId="37" fillId="0" borderId="39" xfId="43" applyNumberFormat="1" applyFont="1" applyFill="1" applyBorder="1" applyAlignment="1">
      <alignment horizontal="justify" vertical="top" wrapText="1"/>
    </xf>
    <xf numFmtId="0" fontId="37" fillId="0" borderId="40" xfId="43" applyFont="1" applyFill="1" applyBorder="1" applyAlignment="1">
      <alignment vertical="top" wrapText="1"/>
    </xf>
    <xf numFmtId="0" fontId="38" fillId="0" borderId="40" xfId="43" applyFont="1" applyFill="1" applyBorder="1" applyAlignment="1">
      <alignment vertical="top" wrapText="1"/>
    </xf>
    <xf numFmtId="0" fontId="38" fillId="0" borderId="41" xfId="43" applyFont="1" applyFill="1" applyBorder="1" applyAlignment="1">
      <alignment vertical="top" wrapText="1"/>
    </xf>
    <xf numFmtId="0" fontId="38" fillId="0" borderId="42" xfId="43" applyFont="1" applyFill="1" applyBorder="1" applyAlignment="1">
      <alignment vertical="top" wrapText="1"/>
    </xf>
    <xf numFmtId="0" fontId="39" fillId="0" borderId="14" xfId="43" applyFont="1" applyFill="1" applyBorder="1" applyAlignment="1">
      <alignment horizontal="center" vertical="center" wrapText="1"/>
    </xf>
    <xf numFmtId="49" fontId="59" fillId="0" borderId="11" xfId="57" applyNumberFormat="1" applyFont="1" applyFill="1" applyBorder="1" applyAlignment="1">
      <alignment horizontal="center" vertical="center"/>
    </xf>
    <xf numFmtId="49" fontId="59" fillId="0" borderId="26" xfId="57" applyNumberFormat="1" applyFont="1" applyFill="1" applyBorder="1" applyAlignment="1">
      <alignment horizontal="center" vertical="center"/>
    </xf>
    <xf numFmtId="49" fontId="59" fillId="0" borderId="25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9" fillId="0" borderId="0" xfId="57" applyFont="1" applyFill="1" applyAlignment="1">
      <alignment horizontal="center" vertical="center"/>
    </xf>
    <xf numFmtId="0" fontId="61" fillId="0" borderId="0" xfId="57" applyFont="1" applyFill="1" applyAlignment="1">
      <alignment horizontal="center" vertical="center" wrapText="1"/>
    </xf>
    <xf numFmtId="0" fontId="61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7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7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25" xfId="41" applyFont="1" applyFill="1" applyBorder="1" applyAlignment="1">
      <alignment horizontal="center" vertical="center" wrapText="1"/>
    </xf>
    <xf numFmtId="0" fontId="39" fillId="0" borderId="26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7" xfId="41" applyFont="1" applyFill="1" applyBorder="1" applyAlignment="1">
      <alignment horizontal="center" vertical="center" wrapText="1"/>
    </xf>
    <xf numFmtId="0" fontId="39" fillId="0" borderId="28" xfId="41" applyFont="1" applyFill="1" applyBorder="1" applyAlignment="1">
      <alignment horizontal="center" vertical="center" wrapText="1"/>
    </xf>
    <xf numFmtId="0" fontId="39" fillId="0" borderId="29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8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6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6" xfId="57" applyFont="1" applyFill="1" applyBorder="1" applyAlignment="1">
      <alignment horizontal="center" vertical="center" wrapText="1"/>
    </xf>
    <xf numFmtId="0" fontId="36" fillId="0" borderId="25" xfId="57" applyFont="1" applyFill="1" applyBorder="1" applyAlignment="1">
      <alignment horizontal="center" vertical="center" wrapText="1"/>
    </xf>
    <xf numFmtId="0" fontId="36" fillId="0" borderId="30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31" xfId="43" applyFont="1" applyFill="1" applyBorder="1" applyAlignment="1">
      <alignment horizontal="center" vertical="center" wrapText="1"/>
    </xf>
    <xf numFmtId="0" fontId="36" fillId="0" borderId="32" xfId="43" applyFont="1" applyFill="1" applyBorder="1" applyAlignment="1">
      <alignment horizontal="center" vertical="center" wrapText="1"/>
    </xf>
    <xf numFmtId="0" fontId="36" fillId="0" borderId="33" xfId="43" applyFont="1" applyFill="1" applyBorder="1" applyAlignment="1">
      <alignment horizontal="center" vertical="center" wrapText="1"/>
    </xf>
    <xf numFmtId="0" fontId="36" fillId="0" borderId="34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8" fillId="0" borderId="0" xfId="57" applyFont="1" applyFill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6" xfId="43" applyFont="1" applyFill="1" applyBorder="1" applyAlignment="1">
      <alignment horizontal="center" vertical="center"/>
    </xf>
    <xf numFmtId="0" fontId="39" fillId="0" borderId="25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25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10" fillId="0" borderId="0" xfId="43" applyFont="1" applyFill="1" applyAlignment="1">
      <alignment horizontal="center"/>
    </xf>
    <xf numFmtId="0" fontId="39" fillId="0" borderId="10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4" fillId="0" borderId="11" xfId="53" applyFont="1" applyFill="1" applyBorder="1" applyAlignment="1">
      <alignment horizontal="center" vertical="center" wrapText="1"/>
    </xf>
    <xf numFmtId="0" fontId="34" fillId="0" borderId="26" xfId="53" applyFont="1" applyFill="1" applyBorder="1" applyAlignment="1">
      <alignment horizontal="center" vertical="center" wrapText="1"/>
    </xf>
    <xf numFmtId="0" fontId="34" fillId="0" borderId="25" xfId="53" applyFont="1" applyFill="1" applyBorder="1" applyAlignment="1">
      <alignment horizontal="center" vertical="center" wrapText="1"/>
    </xf>
    <xf numFmtId="0" fontId="34" fillId="0" borderId="27" xfId="53" applyFont="1" applyFill="1" applyBorder="1" applyAlignment="1">
      <alignment horizontal="center" vertical="center" wrapText="1"/>
    </xf>
    <xf numFmtId="0" fontId="34" fillId="0" borderId="35" xfId="53" applyFont="1" applyFill="1" applyBorder="1" applyAlignment="1">
      <alignment horizontal="center" vertical="center" wrapText="1"/>
    </xf>
    <xf numFmtId="0" fontId="34" fillId="0" borderId="28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36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6" xfId="53" applyFont="1" applyFill="1" applyBorder="1" applyAlignment="1">
      <alignment horizontal="center" vertical="center" wrapText="1"/>
    </xf>
    <xf numFmtId="0" fontId="35" fillId="0" borderId="25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4" fillId="0" borderId="0" xfId="53" applyFont="1" applyFill="1" applyAlignment="1">
      <alignment horizontal="center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37" fillId="0" borderId="18" xfId="43" applyFont="1" applyFill="1" applyBorder="1" applyAlignment="1">
      <alignment horizontal="left" vertical="top" wrapText="1"/>
    </xf>
    <xf numFmtId="0" fontId="37" fillId="0" borderId="22" xfId="43" applyFont="1" applyFill="1" applyBorder="1" applyAlignment="1">
      <alignment horizontal="left" vertical="top" wrapText="1"/>
    </xf>
    <xf numFmtId="0" fontId="37" fillId="0" borderId="19" xfId="43" applyFont="1" applyFill="1" applyBorder="1" applyAlignment="1">
      <alignment horizontal="left" vertical="top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76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 2 2 2" xfId="73"/>
    <cellStyle name="Финансовый 3" xfId="74"/>
    <cellStyle name="Хороший 2" xfId="75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2031.6875938646697</v>
          </cell>
          <cell r="H8">
            <v>1308.3391404359995</v>
          </cell>
          <cell r="J8">
            <v>2157.1722855386706</v>
          </cell>
          <cell r="K8">
            <v>1304.8822426666704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581.53378923000002</v>
          </cell>
          <cell r="BH8">
            <v>0</v>
          </cell>
          <cell r="BI8">
            <v>0</v>
          </cell>
          <cell r="BJ8">
            <v>101.84024169333334</v>
          </cell>
          <cell r="BK8">
            <v>172.42196239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1635.9637346099998</v>
          </cell>
          <cell r="DG8">
            <v>1562.1971539482565</v>
          </cell>
          <cell r="DH8">
            <v>955.62099039825671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 t="str">
            <v/>
          </cell>
          <cell r="EA8" t="str">
            <v/>
          </cell>
          <cell r="EB8" t="str">
            <v>1 2</v>
          </cell>
          <cell r="EC8">
            <v>870.93788626000003</v>
          </cell>
          <cell r="ED8">
            <v>346.03663713000003</v>
          </cell>
          <cell r="EE8">
            <v>488.22764986999994</v>
          </cell>
          <cell r="EF8">
            <v>24.389055679999998</v>
          </cell>
          <cell r="EG8">
            <v>12.284543580000001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104.98333589000001</v>
          </cell>
          <cell r="IZ8">
            <v>0</v>
          </cell>
          <cell r="JA8">
            <v>0</v>
          </cell>
          <cell r="JB8">
            <v>0</v>
          </cell>
          <cell r="JC8">
            <v>4.1915000000000004</v>
          </cell>
          <cell r="JD8">
            <v>4.1915000000000004</v>
          </cell>
          <cell r="JE8">
            <v>0</v>
          </cell>
          <cell r="JF8">
            <v>0</v>
          </cell>
          <cell r="JG8">
            <v>3</v>
          </cell>
          <cell r="JH8">
            <v>0</v>
          </cell>
          <cell r="JI8">
            <v>3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0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0</v>
          </cell>
          <cell r="LK8">
            <v>0</v>
          </cell>
          <cell r="LL8">
            <v>0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2031.6875938646697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1100.3291342882467</v>
          </cell>
          <cell r="H9">
            <v>627.00648662199933</v>
          </cell>
          <cell r="J9">
            <v>1549.0511503782473</v>
          </cell>
          <cell r="K9">
            <v>696.7611075062473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223.43845984000001</v>
          </cell>
          <cell r="BH9">
            <v>0</v>
          </cell>
          <cell r="BI9">
            <v>0</v>
          </cell>
          <cell r="BJ9">
            <v>0</v>
          </cell>
          <cell r="BK9">
            <v>172.42196239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944.35932034999996</v>
          </cell>
          <cell r="DG9">
            <v>1107.8324943481553</v>
          </cell>
          <cell r="DH9">
            <v>501.2563307981552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 t="str">
            <v/>
          </cell>
          <cell r="EA9" t="str">
            <v/>
          </cell>
          <cell r="EB9" t="str">
            <v>1 2</v>
          </cell>
          <cell r="EC9">
            <v>870.93788626000003</v>
          </cell>
          <cell r="ED9">
            <v>346.03663713000003</v>
          </cell>
          <cell r="EE9">
            <v>488.22764986999994</v>
          </cell>
          <cell r="EF9">
            <v>24.389055679999998</v>
          </cell>
          <cell r="EG9">
            <v>12.284543580000001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104.98333589000001</v>
          </cell>
          <cell r="IZ9">
            <v>0</v>
          </cell>
          <cell r="JA9">
            <v>0</v>
          </cell>
          <cell r="JB9">
            <v>0</v>
          </cell>
          <cell r="JC9">
            <v>4.1915000000000004</v>
          </cell>
          <cell r="JD9">
            <v>4.1915000000000004</v>
          </cell>
          <cell r="JE9">
            <v>0</v>
          </cell>
          <cell r="JF9">
            <v>0</v>
          </cell>
          <cell r="JG9">
            <v>3</v>
          </cell>
          <cell r="JH9">
            <v>0</v>
          </cell>
          <cell r="JI9">
            <v>3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0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0</v>
          </cell>
          <cell r="LK9">
            <v>0</v>
          </cell>
          <cell r="LL9">
            <v>0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2031.6875938646697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870.93788626000003</v>
          </cell>
          <cell r="ED10">
            <v>346.03663713000003</v>
          </cell>
          <cell r="EE10">
            <v>488.22764986999994</v>
          </cell>
          <cell r="EF10">
            <v>24.389055679999998</v>
          </cell>
          <cell r="EG10">
            <v>12.284543580000001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104.98333589000001</v>
          </cell>
          <cell r="IZ10">
            <v>0</v>
          </cell>
          <cell r="JA10">
            <v>0</v>
          </cell>
          <cell r="JB10">
            <v>0</v>
          </cell>
          <cell r="JC10">
            <v>4.1915000000000004</v>
          </cell>
          <cell r="JD10">
            <v>4.1915000000000004</v>
          </cell>
          <cell r="JE10">
            <v>0</v>
          </cell>
          <cell r="JF10">
            <v>0</v>
          </cell>
          <cell r="JG10">
            <v>3</v>
          </cell>
          <cell r="JH10">
            <v>0</v>
          </cell>
          <cell r="JI10">
            <v>3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0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0</v>
          </cell>
          <cell r="LK10">
            <v>0</v>
          </cell>
          <cell r="LL10">
            <v>0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2031.6875938646697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870.93788626000003</v>
          </cell>
          <cell r="ED11">
            <v>346.03663713000003</v>
          </cell>
          <cell r="EE11">
            <v>488.22764986999994</v>
          </cell>
          <cell r="EF11">
            <v>24.389055679999998</v>
          </cell>
          <cell r="EG11">
            <v>12.284543580000001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104.98333589000001</v>
          </cell>
          <cell r="IZ11">
            <v>0</v>
          </cell>
          <cell r="JA11">
            <v>0</v>
          </cell>
          <cell r="JB11">
            <v>0</v>
          </cell>
          <cell r="JC11">
            <v>4.1915000000000004</v>
          </cell>
          <cell r="JD11">
            <v>4.1915000000000004</v>
          </cell>
          <cell r="JE11">
            <v>0</v>
          </cell>
          <cell r="JF11">
            <v>0</v>
          </cell>
          <cell r="JG11">
            <v>3</v>
          </cell>
          <cell r="JH11">
            <v>0</v>
          </cell>
          <cell r="JI11">
            <v>3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0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0</v>
          </cell>
          <cell r="LK11">
            <v>0</v>
          </cell>
          <cell r="LL11">
            <v>0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2031.6875938646697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870.93788626000003</v>
          </cell>
          <cell r="ED12">
            <v>346.03663713000003</v>
          </cell>
          <cell r="EE12">
            <v>488.22764986999994</v>
          </cell>
          <cell r="EF12">
            <v>24.389055679999998</v>
          </cell>
          <cell r="EG12">
            <v>12.284543580000001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104.98333589000001</v>
          </cell>
          <cell r="IZ12">
            <v>0</v>
          </cell>
          <cell r="JA12">
            <v>0</v>
          </cell>
          <cell r="JB12">
            <v>0</v>
          </cell>
          <cell r="JC12">
            <v>4.1915000000000004</v>
          </cell>
          <cell r="JD12">
            <v>4.1915000000000004</v>
          </cell>
          <cell r="JE12">
            <v>0</v>
          </cell>
          <cell r="JF12">
            <v>0</v>
          </cell>
          <cell r="JG12">
            <v>3</v>
          </cell>
          <cell r="JH12">
            <v>0</v>
          </cell>
          <cell r="JI12">
            <v>3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2031.6875938646697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870.93788626000003</v>
          </cell>
          <cell r="ED13">
            <v>346.03663713000003</v>
          </cell>
          <cell r="EE13">
            <v>488.22764986999994</v>
          </cell>
          <cell r="EF13">
            <v>24.389055679999998</v>
          </cell>
          <cell r="EG13">
            <v>12.284543580000001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104.98333589000001</v>
          </cell>
          <cell r="IZ13">
            <v>0</v>
          </cell>
          <cell r="JA13">
            <v>0</v>
          </cell>
          <cell r="JB13">
            <v>0</v>
          </cell>
          <cell r="JC13">
            <v>4.1915000000000004</v>
          </cell>
          <cell r="JD13">
            <v>4.1915000000000004</v>
          </cell>
          <cell r="JE13">
            <v>0</v>
          </cell>
          <cell r="JF13">
            <v>0</v>
          </cell>
          <cell r="JG13">
            <v>3</v>
          </cell>
          <cell r="JH13">
            <v>0</v>
          </cell>
          <cell r="JI13">
            <v>3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2031.6875938646697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870.93788626000003</v>
          </cell>
          <cell r="ED16">
            <v>346.03663713000003</v>
          </cell>
          <cell r="EE16">
            <v>488.22764986999994</v>
          </cell>
          <cell r="EF16">
            <v>24.389055679999998</v>
          </cell>
          <cell r="EG16">
            <v>12.284543580000001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104.98333589000001</v>
          </cell>
          <cell r="IZ16">
            <v>0</v>
          </cell>
          <cell r="JA16">
            <v>0</v>
          </cell>
          <cell r="JB16">
            <v>0</v>
          </cell>
          <cell r="JC16">
            <v>4.1915000000000004</v>
          </cell>
          <cell r="JD16">
            <v>4.1915000000000004</v>
          </cell>
          <cell r="JE16">
            <v>0</v>
          </cell>
          <cell r="JF16">
            <v>0</v>
          </cell>
          <cell r="JG16">
            <v>3</v>
          </cell>
          <cell r="JH16">
            <v>0</v>
          </cell>
          <cell r="JI16">
            <v>3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2031.6875938646697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870.93788626000003</v>
          </cell>
          <cell r="ED17">
            <v>346.03663713000003</v>
          </cell>
          <cell r="EE17">
            <v>488.22764986999994</v>
          </cell>
          <cell r="EF17">
            <v>24.389055679999998</v>
          </cell>
          <cell r="EG17">
            <v>12.284543580000001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104.98333589000001</v>
          </cell>
          <cell r="IZ17">
            <v>0</v>
          </cell>
          <cell r="JA17">
            <v>0</v>
          </cell>
          <cell r="JB17">
            <v>0</v>
          </cell>
          <cell r="JC17">
            <v>4.1915000000000004</v>
          </cell>
          <cell r="JD17">
            <v>4.1915000000000004</v>
          </cell>
          <cell r="JE17">
            <v>0</v>
          </cell>
          <cell r="JF17">
            <v>0</v>
          </cell>
          <cell r="JG17">
            <v>3</v>
          </cell>
          <cell r="JH17">
            <v>0</v>
          </cell>
          <cell r="JI17">
            <v>3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2031.6875938646697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870.93788626000003</v>
          </cell>
          <cell r="ED18">
            <v>346.03663713000003</v>
          </cell>
          <cell r="EE18">
            <v>488.22764986999994</v>
          </cell>
          <cell r="EF18">
            <v>24.389055679999998</v>
          </cell>
          <cell r="EG18">
            <v>12.284543580000001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104.98333589000001</v>
          </cell>
          <cell r="IZ18">
            <v>0</v>
          </cell>
          <cell r="JA18">
            <v>0</v>
          </cell>
          <cell r="JB18">
            <v>0</v>
          </cell>
          <cell r="JC18">
            <v>4.1915000000000004</v>
          </cell>
          <cell r="JD18">
            <v>4.1915000000000004</v>
          </cell>
          <cell r="JE18">
            <v>0</v>
          </cell>
          <cell r="JF18">
            <v>0</v>
          </cell>
          <cell r="JG18">
            <v>3</v>
          </cell>
          <cell r="JH18">
            <v>0</v>
          </cell>
          <cell r="JI18">
            <v>3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0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0</v>
          </cell>
          <cell r="LK18">
            <v>0</v>
          </cell>
          <cell r="LL18">
            <v>0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2031.6875938646697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998.61497788260328</v>
          </cell>
          <cell r="H19">
            <v>613.23105891199998</v>
          </cell>
          <cell r="J19">
            <v>1461.1124216826033</v>
          </cell>
          <cell r="K19">
            <v>608.82237881060325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223.43845984000001</v>
          </cell>
          <cell r="BH19">
            <v>0</v>
          </cell>
          <cell r="BI19">
            <v>0</v>
          </cell>
          <cell r="BJ19">
            <v>0</v>
          </cell>
          <cell r="BK19">
            <v>172.42196239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930.40404635999994</v>
          </cell>
          <cell r="DG19">
            <v>1033.5169965515283</v>
          </cell>
          <cell r="DH19">
            <v>426.94083300152829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 t="str">
            <v/>
          </cell>
          <cell r="EA19" t="str">
            <v/>
          </cell>
          <cell r="EB19" t="str">
            <v>1 2</v>
          </cell>
          <cell r="EC19">
            <v>870.93788626000003</v>
          </cell>
          <cell r="ED19">
            <v>346.03663713000003</v>
          </cell>
          <cell r="EE19">
            <v>488.22764986999994</v>
          </cell>
          <cell r="EF19">
            <v>24.389055679999998</v>
          </cell>
          <cell r="EG19">
            <v>12.284543580000001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104.98333589000001</v>
          </cell>
          <cell r="IZ19">
            <v>0</v>
          </cell>
          <cell r="JA19">
            <v>0</v>
          </cell>
          <cell r="JB19">
            <v>0</v>
          </cell>
          <cell r="JC19">
            <v>4.1915000000000004</v>
          </cell>
          <cell r="JD19">
            <v>4.1915000000000004</v>
          </cell>
          <cell r="JE19">
            <v>0</v>
          </cell>
          <cell r="JF19">
            <v>0</v>
          </cell>
          <cell r="JG19">
            <v>3</v>
          </cell>
          <cell r="JH19">
            <v>0</v>
          </cell>
          <cell r="JI19">
            <v>3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2031.6875938646697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998.61497788260328</v>
          </cell>
          <cell r="H20">
            <v>613.23105891199998</v>
          </cell>
          <cell r="J20">
            <v>1461.1124216826033</v>
          </cell>
          <cell r="K20">
            <v>608.82237881060325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223.43845984000001</v>
          </cell>
          <cell r="BH20">
            <v>0</v>
          </cell>
          <cell r="BI20">
            <v>0</v>
          </cell>
          <cell r="BJ20">
            <v>0</v>
          </cell>
          <cell r="BK20">
            <v>172.42196239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930.40404635999994</v>
          </cell>
          <cell r="DG20">
            <v>1033.5169965515283</v>
          </cell>
          <cell r="DH20">
            <v>426.94083300152829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 t="str">
            <v/>
          </cell>
          <cell r="EA20" t="str">
            <v/>
          </cell>
          <cell r="EB20" t="str">
            <v>1 2</v>
          </cell>
          <cell r="EC20">
            <v>870.93788626000003</v>
          </cell>
          <cell r="ED20">
            <v>346.03663713000003</v>
          </cell>
          <cell r="EE20">
            <v>488.22764986999994</v>
          </cell>
          <cell r="EF20">
            <v>24.389055679999998</v>
          </cell>
          <cell r="EG20">
            <v>12.284543580000001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104.98333589000001</v>
          </cell>
          <cell r="IZ20">
            <v>0</v>
          </cell>
          <cell r="JA20">
            <v>0</v>
          </cell>
          <cell r="JB20">
            <v>0</v>
          </cell>
          <cell r="JC20">
            <v>4.1915000000000004</v>
          </cell>
          <cell r="JD20">
            <v>4.1915000000000004</v>
          </cell>
          <cell r="JE20">
            <v>0</v>
          </cell>
          <cell r="JF20">
            <v>0</v>
          </cell>
          <cell r="JG20">
            <v>3</v>
          </cell>
          <cell r="JH20">
            <v>0</v>
          </cell>
          <cell r="JI20">
            <v>3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2031.6875938646697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774.4869440526935</v>
          </cell>
          <cell r="H21">
            <v>367.05419385200003</v>
          </cell>
          <cell r="J21">
            <v>1432.1447554626934</v>
          </cell>
          <cell r="K21">
            <v>579.85471259069345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172.42196239</v>
          </cell>
          <cell r="BH21">
            <v>0</v>
          </cell>
          <cell r="BI21">
            <v>0</v>
          </cell>
          <cell r="BJ21">
            <v>0</v>
          </cell>
          <cell r="BK21">
            <v>172.42196239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702.05412581999997</v>
          </cell>
          <cell r="DG21">
            <v>1052.4217001412658</v>
          </cell>
          <cell r="DH21">
            <v>445.84553659126573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 t="str">
            <v/>
          </cell>
          <cell r="EA21" t="str">
            <v/>
          </cell>
          <cell r="EB21" t="str">
            <v>1 2</v>
          </cell>
          <cell r="EC21">
            <v>870.93788626000003</v>
          </cell>
          <cell r="ED21">
            <v>346.03663713000003</v>
          </cell>
          <cell r="EE21">
            <v>488.22764986999994</v>
          </cell>
          <cell r="EF21">
            <v>24.389055679999998</v>
          </cell>
          <cell r="EG21">
            <v>12.284543580000001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104.98333589000001</v>
          </cell>
          <cell r="IZ21">
            <v>0</v>
          </cell>
          <cell r="JA21">
            <v>0</v>
          </cell>
          <cell r="JB21">
            <v>0</v>
          </cell>
          <cell r="JC21">
            <v>4.1915000000000004</v>
          </cell>
          <cell r="JD21">
            <v>4.1915000000000004</v>
          </cell>
          <cell r="JE21">
            <v>0</v>
          </cell>
          <cell r="JF21">
            <v>0</v>
          </cell>
          <cell r="JG21">
            <v>3</v>
          </cell>
          <cell r="JH21">
            <v>0</v>
          </cell>
          <cell r="JI21">
            <v>3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2031.6875938646697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4.8988917999999995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2.34256894</v>
          </cell>
          <cell r="BH22">
            <v>0</v>
          </cell>
          <cell r="BI22">
            <v>0</v>
          </cell>
          <cell r="BJ22">
            <v>0</v>
          </cell>
          <cell r="BK22">
            <v>2.34256894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I_Che149</v>
          </cell>
          <cell r="B23" t="str">
            <v>1.1.3.1</v>
          </cell>
          <cell r="C23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3" t="str">
            <v>I_Che149</v>
          </cell>
          <cell r="E23">
            <v>59.628870252866726</v>
          </cell>
          <cell r="H23">
            <v>81.999148329999997</v>
          </cell>
          <cell r="J23">
            <v>59.628870252866726</v>
          </cell>
          <cell r="K23">
            <v>27.106583722866723</v>
          </cell>
          <cell r="L23">
            <v>32.522286530000002</v>
          </cell>
          <cell r="M23">
            <v>0</v>
          </cell>
          <cell r="N23">
            <v>0</v>
          </cell>
          <cell r="O23">
            <v>0</v>
          </cell>
          <cell r="P23">
            <v>27.2242712</v>
          </cell>
          <cell r="Q23">
            <v>5.2980153300000001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49.476861799999995</v>
          </cell>
          <cell r="BH23">
            <v>0</v>
          </cell>
          <cell r="BI23">
            <v>0</v>
          </cell>
          <cell r="BJ23">
            <v>0</v>
          </cell>
          <cell r="BK23">
            <v>49.476861799999995</v>
          </cell>
          <cell r="BL23">
            <v>0</v>
          </cell>
          <cell r="BM23">
            <v>29.423018119999998</v>
          </cell>
          <cell r="BN23">
            <v>0</v>
          </cell>
          <cell r="BO23">
            <v>0</v>
          </cell>
          <cell r="BP23">
            <v>0</v>
          </cell>
          <cell r="BQ23">
            <v>29.423018119999998</v>
          </cell>
          <cell r="BR23">
            <v>0</v>
          </cell>
          <cell r="BS23">
            <v>20.05384368</v>
          </cell>
          <cell r="BT23">
            <v>0</v>
          </cell>
          <cell r="BU23">
            <v>0</v>
          </cell>
          <cell r="BV23">
            <v>0</v>
          </cell>
          <cell r="BW23">
            <v>20.05384368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1</v>
          </cell>
          <cell r="CR23">
            <v>2</v>
          </cell>
          <cell r="CS23" t="str">
            <v/>
          </cell>
          <cell r="CT23" t="str">
            <v/>
          </cell>
          <cell r="CU23" t="str">
            <v>1 2</v>
          </cell>
          <cell r="CX23">
            <v>50.532940892259937</v>
          </cell>
          <cell r="CY23">
            <v>1.9814567513360286</v>
          </cell>
          <cell r="CZ23">
            <v>41.317594413824096</v>
          </cell>
          <cell r="DA23">
            <v>0</v>
          </cell>
          <cell r="DB23">
            <v>7.2338897270998119</v>
          </cell>
          <cell r="DE23">
            <v>70.163026860000002</v>
          </cell>
          <cell r="DG23">
            <v>50.532940892259937</v>
          </cell>
          <cell r="DH23">
            <v>-19.630085967740065</v>
          </cell>
          <cell r="DI23">
            <v>70.163026860000002</v>
          </cell>
          <cell r="DJ23">
            <v>4.4898435000000001</v>
          </cell>
          <cell r="DK23">
            <v>62.764169840000001</v>
          </cell>
          <cell r="DL23">
            <v>0</v>
          </cell>
          <cell r="DM23">
            <v>2.9090135199999998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50.532940892259937</v>
          </cell>
          <cell r="FO23">
            <v>0</v>
          </cell>
          <cell r="FP23">
            <v>0</v>
          </cell>
          <cell r="FQ23">
            <v>0</v>
          </cell>
          <cell r="FR23">
            <v>5.3</v>
          </cell>
          <cell r="FS23">
            <v>5.3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70.163026860000002</v>
          </cell>
          <cell r="GA23">
            <v>0</v>
          </cell>
          <cell r="GB23">
            <v>0</v>
          </cell>
          <cell r="GC23">
            <v>0</v>
          </cell>
          <cell r="GD23">
            <v>4.84</v>
          </cell>
          <cell r="GE23">
            <v>4.84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з</v>
          </cell>
          <cell r="OR23">
            <v>0</v>
          </cell>
          <cell r="OT23">
            <v>59.628870252866726</v>
          </cell>
        </row>
        <row r="24">
          <cell r="A24" t="str">
            <v>I_Che150</v>
          </cell>
          <cell r="B24" t="str">
            <v>1.1.3.1</v>
          </cell>
          <cell r="C24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4" t="str">
            <v>I_Che150</v>
          </cell>
          <cell r="E24">
            <v>59.628870252866726</v>
          </cell>
          <cell r="H24">
            <v>64.521247549999998</v>
          </cell>
          <cell r="J24">
            <v>59.628870252866726</v>
          </cell>
          <cell r="K24">
            <v>27.132896022866724</v>
          </cell>
          <cell r="L24">
            <v>32.495974230000002</v>
          </cell>
          <cell r="M24">
            <v>0</v>
          </cell>
          <cell r="N24">
            <v>0</v>
          </cell>
          <cell r="O24">
            <v>0</v>
          </cell>
          <cell r="P24">
            <v>27.175055099999998</v>
          </cell>
          <cell r="Q24">
            <v>5.3209191300000001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32.025273319999997</v>
          </cell>
          <cell r="BH24">
            <v>0</v>
          </cell>
          <cell r="BI24">
            <v>0</v>
          </cell>
          <cell r="BJ24">
            <v>0</v>
          </cell>
          <cell r="BK24">
            <v>32.025273319999997</v>
          </cell>
          <cell r="BL24">
            <v>0</v>
          </cell>
          <cell r="BM24">
            <v>29.079117</v>
          </cell>
          <cell r="BN24">
            <v>0</v>
          </cell>
          <cell r="BO24">
            <v>0</v>
          </cell>
          <cell r="BP24">
            <v>0</v>
          </cell>
          <cell r="BQ24">
            <v>29.079117</v>
          </cell>
          <cell r="BR24">
            <v>0</v>
          </cell>
          <cell r="BS24">
            <v>2.9461563200000001</v>
          </cell>
          <cell r="BT24">
            <v>0</v>
          </cell>
          <cell r="BU24">
            <v>0</v>
          </cell>
          <cell r="BV24">
            <v>0</v>
          </cell>
          <cell r="BW24">
            <v>2.9461563200000001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64.90114217</v>
          </cell>
          <cell r="DG24">
            <v>50.532940892259937</v>
          </cell>
          <cell r="DH24">
            <v>-14.368201277740063</v>
          </cell>
          <cell r="DI24">
            <v>64.90114217</v>
          </cell>
          <cell r="DJ24">
            <v>4.5092534999999998</v>
          </cell>
          <cell r="DK24">
            <v>57.879934140000003</v>
          </cell>
          <cell r="DL24">
            <v>0</v>
          </cell>
          <cell r="DM24">
            <v>2.5119545300000001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64.90114217</v>
          </cell>
          <cell r="GA24">
            <v>0</v>
          </cell>
          <cell r="GB24">
            <v>0</v>
          </cell>
          <cell r="GC24">
            <v>0</v>
          </cell>
          <cell r="GD24">
            <v>4.5</v>
          </cell>
          <cell r="GE24">
            <v>4.5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I_Che151</v>
          </cell>
          <cell r="B25" t="str">
            <v>1.1.3.1</v>
          </cell>
          <cell r="C25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I_Che151</v>
          </cell>
          <cell r="E25">
            <v>57.017072322850488</v>
          </cell>
          <cell r="H25">
            <v>58.794175920000001</v>
          </cell>
          <cell r="J25">
            <v>57.017072322850488</v>
          </cell>
          <cell r="K25">
            <v>30.880756362850491</v>
          </cell>
          <cell r="L25">
            <v>26.136315959999997</v>
          </cell>
          <cell r="M25">
            <v>0</v>
          </cell>
          <cell r="N25">
            <v>0</v>
          </cell>
          <cell r="O25">
            <v>0</v>
          </cell>
          <cell r="P25">
            <v>20.842078279999999</v>
          </cell>
          <cell r="Q25">
            <v>5.2942376800000002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32.657859960000003</v>
          </cell>
          <cell r="BH25">
            <v>0</v>
          </cell>
          <cell r="BI25">
            <v>0</v>
          </cell>
          <cell r="BJ25">
            <v>0</v>
          </cell>
          <cell r="BK25">
            <v>32.657859960000003</v>
          </cell>
          <cell r="BL25">
            <v>0</v>
          </cell>
          <cell r="BM25">
            <v>32.657859960000003</v>
          </cell>
          <cell r="BN25">
            <v>0</v>
          </cell>
          <cell r="BO25">
            <v>0</v>
          </cell>
          <cell r="BP25">
            <v>0</v>
          </cell>
          <cell r="BQ25">
            <v>32.657859960000003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</v>
          </cell>
          <cell r="CR25" t="str">
            <v/>
          </cell>
          <cell r="CS25" t="str">
            <v/>
          </cell>
          <cell r="CT25" t="str">
            <v/>
          </cell>
          <cell r="CU25" t="str">
            <v>1</v>
          </cell>
          <cell r="CX25">
            <v>48.319552815974994</v>
          </cell>
          <cell r="CY25">
            <v>1.8946671707249996</v>
          </cell>
          <cell r="CZ25">
            <v>39.507846767999993</v>
          </cell>
          <cell r="DA25">
            <v>0</v>
          </cell>
          <cell r="DB25">
            <v>6.9170388772500013</v>
          </cell>
          <cell r="DE25">
            <v>58.031423759999996</v>
          </cell>
          <cell r="DG25">
            <v>48.319552815974994</v>
          </cell>
          <cell r="DH25">
            <v>-9.7118709440250015</v>
          </cell>
          <cell r="DI25">
            <v>58.031423759999996</v>
          </cell>
          <cell r="DJ25">
            <v>4.4866420999999992</v>
          </cell>
          <cell r="DK25">
            <v>51.26332618</v>
          </cell>
          <cell r="DL25">
            <v>0</v>
          </cell>
          <cell r="DM25">
            <v>2.28145548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48.319552815974994</v>
          </cell>
          <cell r="FO25">
            <v>0</v>
          </cell>
          <cell r="FP25">
            <v>0</v>
          </cell>
          <cell r="FQ25">
            <v>0</v>
          </cell>
          <cell r="FR25">
            <v>4.5</v>
          </cell>
          <cell r="FS25">
            <v>4.5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58.031423759999996</v>
          </cell>
          <cell r="GA25">
            <v>0</v>
          </cell>
          <cell r="GB25">
            <v>0</v>
          </cell>
          <cell r="GC25">
            <v>0</v>
          </cell>
          <cell r="GD25">
            <v>3.3149999999999999</v>
          </cell>
          <cell r="GE25">
            <v>3.3149999999999999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57.017072322850488</v>
          </cell>
        </row>
        <row r="26">
          <cell r="A26" t="str">
            <v>I_Che152</v>
          </cell>
          <cell r="B26" t="str">
            <v>1.1.3.1</v>
          </cell>
          <cell r="C26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6" t="str">
            <v>I_Che152</v>
          </cell>
          <cell r="E26">
            <v>32.101498262255298</v>
          </cell>
          <cell r="H26">
            <v>29.797130832000001</v>
          </cell>
          <cell r="J26">
            <v>32.101498262255298</v>
          </cell>
          <cell r="K26">
            <v>5.4365093802552984</v>
          </cell>
          <cell r="L26">
            <v>26.664988881999999</v>
          </cell>
          <cell r="M26">
            <v>0</v>
          </cell>
          <cell r="N26">
            <v>0</v>
          </cell>
          <cell r="O26">
            <v>0</v>
          </cell>
          <cell r="P26">
            <v>22.36040865</v>
          </cell>
          <cell r="Q26">
            <v>4.3045802320000002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3.1321419500000003</v>
          </cell>
          <cell r="BH26">
            <v>0</v>
          </cell>
          <cell r="BI26">
            <v>0</v>
          </cell>
          <cell r="BJ26">
            <v>0</v>
          </cell>
          <cell r="BK26">
            <v>3.1321419500000003</v>
          </cell>
          <cell r="BL26">
            <v>0</v>
          </cell>
          <cell r="BM26">
            <v>0.83635194999999996</v>
          </cell>
          <cell r="BN26">
            <v>0</v>
          </cell>
          <cell r="BO26">
            <v>0</v>
          </cell>
          <cell r="BP26">
            <v>0</v>
          </cell>
          <cell r="BQ26">
            <v>0.83635194999999996</v>
          </cell>
          <cell r="BR26">
            <v>0</v>
          </cell>
          <cell r="BS26">
            <v>2.2957900000000002</v>
          </cell>
          <cell r="BT26">
            <v>0</v>
          </cell>
          <cell r="BU26">
            <v>0</v>
          </cell>
          <cell r="BV26">
            <v>0</v>
          </cell>
          <cell r="BW26">
            <v>2.2957900000000002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1</v>
          </cell>
          <cell r="CR26">
            <v>2</v>
          </cell>
          <cell r="CS26" t="str">
            <v/>
          </cell>
          <cell r="CT26" t="str">
            <v/>
          </cell>
          <cell r="CU26" t="str">
            <v>1 2</v>
          </cell>
          <cell r="CX26">
            <v>27.204659544284151</v>
          </cell>
          <cell r="CY26">
            <v>1.0667270768338888</v>
          </cell>
          <cell r="CZ26">
            <v>22.243532028215427</v>
          </cell>
          <cell r="DA26">
            <v>0</v>
          </cell>
          <cell r="DB26">
            <v>3.894400439234833</v>
          </cell>
          <cell r="DE26">
            <v>102.79228253999999</v>
          </cell>
          <cell r="DG26">
            <v>27.204659544284151</v>
          </cell>
          <cell r="DH26">
            <v>22.644722854284151</v>
          </cell>
          <cell r="DI26">
            <v>4.5599366900000007</v>
          </cell>
          <cell r="DJ26">
            <v>4.5599366900000007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</v>
          </cell>
          <cell r="DY26">
            <v>2</v>
          </cell>
          <cell r="DZ26" t="str">
            <v/>
          </cell>
          <cell r="EA26" t="str">
            <v/>
          </cell>
          <cell r="EB26" t="str">
            <v>1 2</v>
          </cell>
          <cell r="EC26">
            <v>98.232345849999987</v>
          </cell>
          <cell r="ED26">
            <v>0</v>
          </cell>
          <cell r="EE26">
            <v>94.090279620000004</v>
          </cell>
          <cell r="EF26">
            <v>0</v>
          </cell>
          <cell r="EG26">
            <v>4.1420662300000002</v>
          </cell>
          <cell r="EH26">
            <v>95.867375849999988</v>
          </cell>
          <cell r="EI26">
            <v>0</v>
          </cell>
          <cell r="EJ26">
            <v>94.090279620000004</v>
          </cell>
          <cell r="EK26">
            <v>0</v>
          </cell>
          <cell r="EL26">
            <v>1.7770962299999999</v>
          </cell>
          <cell r="EM26">
            <v>2.36497</v>
          </cell>
          <cell r="EN26">
            <v>0</v>
          </cell>
          <cell r="EO26">
            <v>0</v>
          </cell>
          <cell r="EP26">
            <v>0</v>
          </cell>
          <cell r="EQ26">
            <v>2.36497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27.204659544284151</v>
          </cell>
          <cell r="FO26">
            <v>0</v>
          </cell>
          <cell r="FP26">
            <v>0</v>
          </cell>
          <cell r="FQ26">
            <v>0</v>
          </cell>
          <cell r="FR26">
            <v>2</v>
          </cell>
          <cell r="FS26">
            <v>0</v>
          </cell>
          <cell r="FT26">
            <v>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102.79228254</v>
          </cell>
          <cell r="IZ26">
            <v>0</v>
          </cell>
          <cell r="JA26">
            <v>0</v>
          </cell>
          <cell r="JB26">
            <v>0</v>
          </cell>
          <cell r="JC26">
            <v>3.4590000000000001</v>
          </cell>
          <cell r="JD26">
            <v>3.4590000000000001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102.79228254</v>
          </cell>
          <cell r="JV26">
            <v>0</v>
          </cell>
          <cell r="JW26">
            <v>0</v>
          </cell>
          <cell r="JX26">
            <v>0</v>
          </cell>
          <cell r="JY26">
            <v>3.4590000000000001</v>
          </cell>
          <cell r="JZ26">
            <v>3.4590000000000001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2019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32.101498262255298</v>
          </cell>
        </row>
        <row r="27">
          <cell r="A27" t="str">
            <v>I_Che153</v>
          </cell>
          <cell r="B27" t="str">
            <v>1.1.3.1</v>
          </cell>
          <cell r="C27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7" t="str">
            <v>I_Che153</v>
          </cell>
          <cell r="E27">
            <v>561.23955774133265</v>
          </cell>
          <cell r="H27">
            <v>127.04359942000001</v>
          </cell>
          <cell r="J27">
            <v>561.23955774133265</v>
          </cell>
          <cell r="K27">
            <v>486.98321474133263</v>
          </cell>
          <cell r="L27">
            <v>74.256343000000001</v>
          </cell>
          <cell r="M27">
            <v>0</v>
          </cell>
          <cell r="N27">
            <v>0</v>
          </cell>
          <cell r="O27">
            <v>0</v>
          </cell>
          <cell r="P27">
            <v>74.256343000000001</v>
          </cell>
          <cell r="Q27">
            <v>0</v>
          </cell>
          <cell r="R27">
            <v>168.37186732239959</v>
          </cell>
          <cell r="S27">
            <v>0</v>
          </cell>
          <cell r="T27">
            <v>0</v>
          </cell>
          <cell r="U27">
            <v>0</v>
          </cell>
          <cell r="V27">
            <v>168.37186732239959</v>
          </cell>
          <cell r="W27">
            <v>0</v>
          </cell>
          <cell r="X27">
            <v>168.37186732239959</v>
          </cell>
          <cell r="Y27">
            <v>0</v>
          </cell>
          <cell r="Z27">
            <v>0</v>
          </cell>
          <cell r="AA27">
            <v>0</v>
          </cell>
          <cell r="AB27">
            <v>168.37186732239959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1</v>
          </cell>
          <cell r="BC27" t="str">
            <v/>
          </cell>
          <cell r="BD27" t="str">
            <v/>
          </cell>
          <cell r="BE27" t="str">
            <v/>
          </cell>
          <cell r="BF27" t="str">
            <v>1</v>
          </cell>
          <cell r="BG27">
            <v>52.787256420000006</v>
          </cell>
          <cell r="BH27">
            <v>0</v>
          </cell>
          <cell r="BI27">
            <v>0</v>
          </cell>
          <cell r="BJ27">
            <v>0</v>
          </cell>
          <cell r="BK27">
            <v>52.787256420000006</v>
          </cell>
          <cell r="BL27">
            <v>0</v>
          </cell>
          <cell r="BM27">
            <v>50.136670700000003</v>
          </cell>
          <cell r="BN27">
            <v>0</v>
          </cell>
          <cell r="BO27">
            <v>0</v>
          </cell>
          <cell r="BP27">
            <v>0</v>
          </cell>
          <cell r="BQ27">
            <v>50.136670700000003</v>
          </cell>
          <cell r="BR27">
            <v>0</v>
          </cell>
          <cell r="BS27">
            <v>2.65058572</v>
          </cell>
          <cell r="BT27">
            <v>0</v>
          </cell>
          <cell r="BU27">
            <v>0</v>
          </cell>
          <cell r="BV27">
            <v>0</v>
          </cell>
          <cell r="BW27">
            <v>2.65058572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475.62674384858701</v>
          </cell>
          <cell r="CY27">
            <v>18.649890666843731</v>
          </cell>
          <cell r="CZ27">
            <v>388.88995074723192</v>
          </cell>
          <cell r="DA27">
            <v>0</v>
          </cell>
          <cell r="DB27">
            <v>68.086902434511359</v>
          </cell>
          <cell r="DE27">
            <v>401.58630275000002</v>
          </cell>
          <cell r="DG27">
            <v>475.62674384858701</v>
          </cell>
          <cell r="DH27">
            <v>467.36288981858701</v>
          </cell>
          <cell r="DI27">
            <v>8.263854030000001</v>
          </cell>
          <cell r="DJ27">
            <v>8.263854030000001</v>
          </cell>
          <cell r="DK27">
            <v>0</v>
          </cell>
          <cell r="DL27">
            <v>0</v>
          </cell>
          <cell r="DM27">
            <v>0</v>
          </cell>
          <cell r="DN27">
            <v>142.68802315457594</v>
          </cell>
          <cell r="DS27">
            <v>142.68802315457594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393.32244872000001</v>
          </cell>
          <cell r="ED27">
            <v>0</v>
          </cell>
          <cell r="EE27">
            <v>386.53098899999998</v>
          </cell>
          <cell r="EF27">
            <v>0</v>
          </cell>
          <cell r="EG27">
            <v>6.7914597200000006</v>
          </cell>
          <cell r="EH27">
            <v>1.4571099999999999</v>
          </cell>
          <cell r="EI27">
            <v>0</v>
          </cell>
          <cell r="EJ27">
            <v>0</v>
          </cell>
          <cell r="EK27">
            <v>0</v>
          </cell>
          <cell r="EL27">
            <v>1.4571099999999999</v>
          </cell>
          <cell r="EM27">
            <v>391.86533872000001</v>
          </cell>
          <cell r="EN27">
            <v>0</v>
          </cell>
          <cell r="EO27">
            <v>386.53098899999998</v>
          </cell>
          <cell r="EP27">
            <v>0</v>
          </cell>
          <cell r="EQ27">
            <v>5.3343497200000005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>
            <v>4</v>
          </cell>
          <cell r="FK27" t="str">
            <v>4</v>
          </cell>
          <cell r="FN27">
            <v>475.62674384858701</v>
          </cell>
          <cell r="FO27">
            <v>0</v>
          </cell>
          <cell r="FP27">
            <v>0</v>
          </cell>
          <cell r="FQ27">
            <v>0</v>
          </cell>
          <cell r="FR27">
            <v>53</v>
          </cell>
          <cell r="FS27">
            <v>53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475.62674384858701</v>
          </cell>
          <cell r="GL27">
            <v>0</v>
          </cell>
          <cell r="GM27">
            <v>0</v>
          </cell>
          <cell r="GN27">
            <v>0</v>
          </cell>
          <cell r="GO27">
            <v>53</v>
          </cell>
          <cell r="GP27">
            <v>53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475.62674384858701</v>
          </cell>
          <cell r="GW27">
            <v>0</v>
          </cell>
          <cell r="GX27">
            <v>0</v>
          </cell>
          <cell r="GY27">
            <v>0</v>
          </cell>
          <cell r="GZ27">
            <v>53</v>
          </cell>
          <cell r="HA27">
            <v>53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с</v>
          </cell>
          <cell r="OR27">
            <v>0</v>
          </cell>
          <cell r="OT27">
            <v>561.23955774133265</v>
          </cell>
        </row>
        <row r="28">
          <cell r="A28" t="str">
            <v>Г</v>
          </cell>
          <cell r="B28" t="str">
            <v>1.1.3.1</v>
          </cell>
          <cell r="C2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852.29004287199996</v>
          </cell>
          <cell r="K28">
            <v>0</v>
          </cell>
          <cell r="L28">
            <v>852.29004287199996</v>
          </cell>
          <cell r="M28">
            <v>0</v>
          </cell>
          <cell r="N28">
            <v>0</v>
          </cell>
          <cell r="O28">
            <v>75.508838269152477</v>
          </cell>
          <cell r="P28">
            <v>178.17639041999999</v>
          </cell>
          <cell r="Q28">
            <v>598.60481432284746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3812.2178934788185</v>
          </cell>
          <cell r="CY28">
            <v>572.7289210797162</v>
          </cell>
          <cell r="CZ28">
            <v>1552.4358180467182</v>
          </cell>
          <cell r="DA28">
            <v>1396.6332410204841</v>
          </cell>
          <cell r="DB28">
            <v>351.73938608438334</v>
          </cell>
          <cell r="DE28">
            <v>0</v>
          </cell>
          <cell r="DG28">
            <v>606.57616354999993</v>
          </cell>
          <cell r="DH28">
            <v>0</v>
          </cell>
          <cell r="DI28">
            <v>606.57616354999993</v>
          </cell>
          <cell r="DJ28">
            <v>38.906113530000006</v>
          </cell>
          <cell r="DK28">
            <v>197.33895278</v>
          </cell>
          <cell r="DL28">
            <v>344.75768944999993</v>
          </cell>
          <cell r="DM28">
            <v>25.573407790000001</v>
          </cell>
          <cell r="DN28">
            <v>277.00832313952753</v>
          </cell>
          <cell r="DS28">
            <v>142.68802315457594</v>
          </cell>
          <cell r="DT28">
            <v>56.493174655273869</v>
          </cell>
          <cell r="DU28">
            <v>49.232590688265262</v>
          </cell>
          <cell r="DV28">
            <v>28.594534641412469</v>
          </cell>
          <cell r="DW28">
            <v>49.232590688265262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870.93788626000003</v>
          </cell>
          <cell r="ED28">
            <v>346.03663713000003</v>
          </cell>
          <cell r="EE28">
            <v>488.22764986999994</v>
          </cell>
          <cell r="EF28">
            <v>24.389055679999998</v>
          </cell>
          <cell r="EG28">
            <v>12.284543580000001</v>
          </cell>
          <cell r="EH28">
            <v>323.89559782000003</v>
          </cell>
          <cell r="EI28">
            <v>224.59279934</v>
          </cell>
          <cell r="EJ28">
            <v>95.952902250000008</v>
          </cell>
          <cell r="EK28">
            <v>0</v>
          </cell>
          <cell r="EL28">
            <v>3.3498962299999997</v>
          </cell>
          <cell r="EM28">
            <v>547.04228843999999</v>
          </cell>
          <cell r="EN28">
            <v>121.44383779</v>
          </cell>
          <cell r="EO28">
            <v>392.27474761999997</v>
          </cell>
          <cell r="EP28">
            <v>24.389055679999998</v>
          </cell>
          <cell r="EQ28">
            <v>8.9346473500000005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3102.5564480438834</v>
          </cell>
          <cell r="FO28">
            <v>0</v>
          </cell>
          <cell r="FP28">
            <v>175.58</v>
          </cell>
          <cell r="FQ28">
            <v>0</v>
          </cell>
          <cell r="FR28">
            <v>697.62100000000009</v>
          </cell>
          <cell r="FS28">
            <v>695.62100000000009</v>
          </cell>
          <cell r="FT28">
            <v>2</v>
          </cell>
          <cell r="FU28">
            <v>0</v>
          </cell>
          <cell r="FV28">
            <v>162</v>
          </cell>
          <cell r="FW28">
            <v>0</v>
          </cell>
          <cell r="FX28">
            <v>162</v>
          </cell>
          <cell r="FZ28">
            <v>604.26295830000004</v>
          </cell>
          <cell r="GA28">
            <v>0</v>
          </cell>
          <cell r="GB28">
            <v>10.842000000000002</v>
          </cell>
          <cell r="GC28">
            <v>0</v>
          </cell>
          <cell r="GD28">
            <v>18.175000000000001</v>
          </cell>
          <cell r="GE28">
            <v>18.175000000000001</v>
          </cell>
          <cell r="GF28">
            <v>0</v>
          </cell>
          <cell r="GG28">
            <v>0</v>
          </cell>
          <cell r="GH28">
            <v>112</v>
          </cell>
          <cell r="GI28">
            <v>0</v>
          </cell>
          <cell r="GJ28">
            <v>112</v>
          </cell>
          <cell r="GK28">
            <v>514.82344348999948</v>
          </cell>
          <cell r="GL28">
            <v>0</v>
          </cell>
          <cell r="GM28">
            <v>0</v>
          </cell>
          <cell r="GN28">
            <v>0</v>
          </cell>
          <cell r="GO28">
            <v>59.307000000000002</v>
          </cell>
          <cell r="GP28">
            <v>59.307000000000002</v>
          </cell>
          <cell r="GQ28">
            <v>0</v>
          </cell>
          <cell r="GR28">
            <v>0</v>
          </cell>
          <cell r="GS28">
            <v>1</v>
          </cell>
          <cell r="GT28">
            <v>0</v>
          </cell>
          <cell r="GU28">
            <v>1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39.196699641412465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6.3069999999999995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104.98333589000001</v>
          </cell>
          <cell r="IZ28">
            <v>0</v>
          </cell>
          <cell r="JA28">
            <v>0</v>
          </cell>
          <cell r="JB28">
            <v>0</v>
          </cell>
          <cell r="JC28">
            <v>4.1915000000000004</v>
          </cell>
          <cell r="JD28">
            <v>4.1915000000000004</v>
          </cell>
          <cell r="JE28">
            <v>0</v>
          </cell>
          <cell r="JF28">
            <v>0</v>
          </cell>
          <cell r="JG28">
            <v>3</v>
          </cell>
          <cell r="JH28">
            <v>0</v>
          </cell>
          <cell r="JI28">
            <v>3</v>
          </cell>
          <cell r="JJ28">
            <v>2.0477729099999999</v>
          </cell>
          <cell r="JK28">
            <v>0</v>
          </cell>
          <cell r="JL28">
            <v>0</v>
          </cell>
          <cell r="JM28">
            <v>0</v>
          </cell>
          <cell r="JN28">
            <v>0.73250000000000004</v>
          </cell>
          <cell r="JO28">
            <v>0.73250000000000004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102.93556298</v>
          </cell>
          <cell r="JV28">
            <v>0</v>
          </cell>
          <cell r="JW28">
            <v>0</v>
          </cell>
          <cell r="JX28">
            <v>0</v>
          </cell>
          <cell r="JY28">
            <v>3.4590000000000001</v>
          </cell>
          <cell r="JZ28">
            <v>3.4590000000000001</v>
          </cell>
          <cell r="KA28">
            <v>0</v>
          </cell>
          <cell r="KB28">
            <v>0</v>
          </cell>
          <cell r="KC28">
            <v>3</v>
          </cell>
          <cell r="KD28">
            <v>0</v>
          </cell>
          <cell r="KE28">
            <v>3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0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0</v>
          </cell>
          <cell r="OM28">
            <v>0</v>
          </cell>
          <cell r="ON28">
            <v>0</v>
          </cell>
          <cell r="OO28">
            <v>0</v>
          </cell>
          <cell r="OP28">
            <v>0</v>
          </cell>
          <cell r="OR28">
            <v>0</v>
          </cell>
          <cell r="OT28">
            <v>2031.6875938646697</v>
          </cell>
        </row>
        <row r="29">
          <cell r="A29" t="str">
            <v>Г</v>
          </cell>
          <cell r="B29" t="str">
            <v>1.1.3.1</v>
          </cell>
          <cell r="C2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9" t="str">
            <v>Г</v>
          </cell>
          <cell r="E29">
            <v>224.12803382990978</v>
          </cell>
          <cell r="H29">
            <v>246.17686506000001</v>
          </cell>
          <cell r="J29">
            <v>881.25770909190976</v>
          </cell>
          <cell r="K29">
            <v>28.967666219909788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51.016497449999996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51.016497449999996</v>
          </cell>
          <cell r="BM29">
            <v>48.419644949999999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48.419644949999999</v>
          </cell>
          <cell r="BS29">
            <v>2.5968525000000002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2.5968525000000002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1</v>
          </cell>
          <cell r="CR29">
            <v>2</v>
          </cell>
          <cell r="CS29" t="str">
            <v/>
          </cell>
          <cell r="CT29" t="str">
            <v/>
          </cell>
          <cell r="CU29" t="str">
            <v>1 2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228.34992054</v>
          </cell>
          <cell r="DG29">
            <v>587.6714599602625</v>
          </cell>
          <cell r="DH29">
            <v>-18.904703589737458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>
            <v>2</v>
          </cell>
          <cell r="DZ29" t="str">
            <v/>
          </cell>
          <cell r="EA29" t="str">
            <v/>
          </cell>
          <cell r="EB29" t="str">
            <v>2</v>
          </cell>
          <cell r="EC29">
            <v>870.93788626000003</v>
          </cell>
          <cell r="ED29">
            <v>346.03663713000003</v>
          </cell>
          <cell r="EE29">
            <v>488.22764986999994</v>
          </cell>
          <cell r="EF29">
            <v>24.389055679999998</v>
          </cell>
          <cell r="EG29">
            <v>12.284543580000001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104.98333589000001</v>
          </cell>
          <cell r="IZ29">
            <v>0</v>
          </cell>
          <cell r="JA29">
            <v>0</v>
          </cell>
          <cell r="JB29">
            <v>0</v>
          </cell>
          <cell r="JC29">
            <v>4.1915000000000004</v>
          </cell>
          <cell r="JD29">
            <v>4.1915000000000004</v>
          </cell>
          <cell r="JE29">
            <v>0</v>
          </cell>
          <cell r="JF29">
            <v>0</v>
          </cell>
          <cell r="JG29">
            <v>3</v>
          </cell>
          <cell r="JH29">
            <v>0</v>
          </cell>
          <cell r="JI29">
            <v>3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0</v>
          </cell>
          <cell r="LK29">
            <v>0</v>
          </cell>
          <cell r="LL29">
            <v>0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2031.6875938646697</v>
          </cell>
        </row>
        <row r="30">
          <cell r="A30" t="str">
            <v>I_Che154</v>
          </cell>
          <cell r="B30" t="str">
            <v>1.1.3.1</v>
          </cell>
          <cell r="C30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0" t="str">
            <v>I_Che154</v>
          </cell>
          <cell r="E30">
            <v>66.667199999999994</v>
          </cell>
          <cell r="H30">
            <v>104.56585699</v>
          </cell>
          <cell r="J30">
            <v>66.667199999999994</v>
          </cell>
          <cell r="K30">
            <v>-0.80260947000000726</v>
          </cell>
          <cell r="L30">
            <v>67.469809470000001</v>
          </cell>
          <cell r="M30">
            <v>0</v>
          </cell>
          <cell r="N30">
            <v>0</v>
          </cell>
          <cell r="O30">
            <v>0.79980928000000007</v>
          </cell>
          <cell r="P30">
            <v>0</v>
          </cell>
          <cell r="Q30">
            <v>66.670000189999996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37.096047519999999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37.096047519999999</v>
          </cell>
          <cell r="BM30">
            <v>37.096047519999999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37.096047519999999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56.497627118644068</v>
          </cell>
          <cell r="CY30">
            <v>5.9458143054923873</v>
          </cell>
          <cell r="CZ30">
            <v>4.3215084745762704</v>
          </cell>
          <cell r="DA30">
            <v>40.744338983050845</v>
          </cell>
          <cell r="DB30">
            <v>5.48596535552457</v>
          </cell>
          <cell r="DE30">
            <v>88.737137840000003</v>
          </cell>
          <cell r="DG30">
            <v>56.497627118644068</v>
          </cell>
          <cell r="DH30">
            <v>-32.239510721355934</v>
          </cell>
          <cell r="DI30">
            <v>88.737137840000003</v>
          </cell>
          <cell r="DJ30">
            <v>3.4956187999999999</v>
          </cell>
          <cell r="DK30">
            <v>6.20566979</v>
          </cell>
          <cell r="DL30">
            <v>70.941214029999998</v>
          </cell>
          <cell r="DM30">
            <v>8.0946352200000007</v>
          </cell>
          <cell r="DN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56.497627118644068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2</v>
          </cell>
          <cell r="FW30">
            <v>0</v>
          </cell>
          <cell r="FX30">
            <v>2</v>
          </cell>
          <cell r="FZ30">
            <v>88.737137840000003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2</v>
          </cell>
          <cell r="GI30">
            <v>0</v>
          </cell>
          <cell r="GJ30">
            <v>2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0</v>
          </cell>
          <cell r="LK30">
            <v>0</v>
          </cell>
          <cell r="LL30">
            <v>0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2018</v>
          </cell>
          <cell r="OM30">
            <v>2018</v>
          </cell>
          <cell r="ON30">
            <v>2019</v>
          </cell>
          <cell r="OO30">
            <v>2019</v>
          </cell>
          <cell r="OP30" t="str">
            <v>з</v>
          </cell>
          <cell r="OR30">
            <v>0</v>
          </cell>
          <cell r="OT30">
            <v>66.667199999999994</v>
          </cell>
        </row>
        <row r="31">
          <cell r="A31" t="str">
            <v>I_Che155</v>
          </cell>
          <cell r="B31" t="str">
            <v>1.1.3.1</v>
          </cell>
          <cell r="C31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I_Che155</v>
          </cell>
          <cell r="E31">
            <v>66.667199999999994</v>
          </cell>
          <cell r="H31">
            <v>75.427327680000005</v>
          </cell>
          <cell r="J31">
            <v>66.667199999999994</v>
          </cell>
          <cell r="K31">
            <v>-0.36018780000000561</v>
          </cell>
          <cell r="L31">
            <v>67.0273878</v>
          </cell>
          <cell r="M31">
            <v>0</v>
          </cell>
          <cell r="N31">
            <v>0</v>
          </cell>
          <cell r="O31">
            <v>0.40121259999999997</v>
          </cell>
          <cell r="P31">
            <v>0</v>
          </cell>
          <cell r="Q31">
            <v>66.626175200000006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8.3999398799999998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8.3999398799999998</v>
          </cell>
          <cell r="BM31">
            <v>7.0909677000000002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7.0909677000000002</v>
          </cell>
          <cell r="BS31">
            <v>1.30897218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1.30897218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>
            <v>2</v>
          </cell>
          <cell r="CS31" t="str">
            <v/>
          </cell>
          <cell r="CT31" t="str">
            <v/>
          </cell>
          <cell r="CU31" t="str">
            <v>1 2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63.98266606</v>
          </cell>
          <cell r="DG31">
            <v>56.497627118644068</v>
          </cell>
          <cell r="DH31">
            <v>-7.4850389413559313</v>
          </cell>
          <cell r="DI31">
            <v>63.98266606</v>
          </cell>
          <cell r="DJ31">
            <v>3.6648414599999999</v>
          </cell>
          <cell r="DK31">
            <v>6.0235589999999997</v>
          </cell>
          <cell r="DL31">
            <v>48.551260999999997</v>
          </cell>
          <cell r="DM31">
            <v>5.7430045999999999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63.98266606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I_Che156</v>
          </cell>
          <cell r="B32" t="str">
            <v>1.1.3.1</v>
          </cell>
          <cell r="C32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I_Che156</v>
          </cell>
          <cell r="E32">
            <v>6.4258690237000007</v>
          </cell>
          <cell r="H32">
            <v>1.3502471700000001</v>
          </cell>
          <cell r="J32">
            <v>6.4258690237000007</v>
          </cell>
          <cell r="K32">
            <v>5.3456712837000007</v>
          </cell>
          <cell r="L32">
            <v>1.08019774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1.08019774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0.27004942999999998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0.27004942999999998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0.27004942999999998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0.27004942999999998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>
            <v>2</v>
          </cell>
          <cell r="CS32" t="str">
            <v/>
          </cell>
          <cell r="CT32" t="str">
            <v/>
          </cell>
          <cell r="CU32" t="str">
            <v>2</v>
          </cell>
          <cell r="CX32">
            <v>5.4456517150000012</v>
          </cell>
          <cell r="CY32">
            <v>0.21294110169491659</v>
          </cell>
          <cell r="CZ32">
            <v>0.32378050000000003</v>
          </cell>
          <cell r="DA32">
            <v>4.7439431000000001</v>
          </cell>
          <cell r="DB32">
            <v>0.16498701330508475</v>
          </cell>
          <cell r="DE32">
            <v>3.4351589499999999</v>
          </cell>
          <cell r="DG32">
            <v>5.4456517150000012</v>
          </cell>
          <cell r="DH32">
            <v>4.3013744550000013</v>
          </cell>
          <cell r="DI32">
            <v>1.14427726</v>
          </cell>
          <cell r="DJ32">
            <v>1.14427726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>
            <v>2</v>
          </cell>
          <cell r="DZ32" t="str">
            <v/>
          </cell>
          <cell r="EA32" t="str">
            <v/>
          </cell>
          <cell r="EB32" t="str">
            <v>2</v>
          </cell>
          <cell r="EC32">
            <v>2.29088169</v>
          </cell>
          <cell r="ED32">
            <v>7.6980999999999994E-2</v>
          </cell>
          <cell r="EE32">
            <v>2.0099830000000001</v>
          </cell>
          <cell r="EF32">
            <v>0.20391769000000001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2.29088169</v>
          </cell>
          <cell r="EN32">
            <v>7.6980999999999994E-2</v>
          </cell>
          <cell r="EO32">
            <v>2.0099830000000001</v>
          </cell>
          <cell r="EP32">
            <v>0.20391769000000001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5.4456517150000012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1</v>
          </cell>
          <cell r="FW32">
            <v>0</v>
          </cell>
          <cell r="FX32">
            <v>1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2019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6.4258690237000007</v>
          </cell>
        </row>
        <row r="33">
          <cell r="A33" t="str">
            <v>I_Che157</v>
          </cell>
          <cell r="B33" t="str">
            <v>1.1.3.1</v>
          </cell>
          <cell r="C33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I_Che157</v>
          </cell>
          <cell r="E33">
            <v>6.3037113574200019</v>
          </cell>
          <cell r="H33">
            <v>1.2415396099999998</v>
          </cell>
          <cell r="J33">
            <v>6.3037113574200019</v>
          </cell>
          <cell r="K33">
            <v>5.3104796674200019</v>
          </cell>
          <cell r="L33">
            <v>0.99323169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0.99323169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0.24830791999999999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0.24830791999999999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0.24830791999999999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0.24830791999999999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5.3421282690000016</v>
          </cell>
          <cell r="CY33">
            <v>0.12776466101695089</v>
          </cell>
          <cell r="CZ33">
            <v>0.32378050000000003</v>
          </cell>
          <cell r="DA33">
            <v>4.7439431000000001</v>
          </cell>
          <cell r="DB33">
            <v>0.14664000798305082</v>
          </cell>
          <cell r="DE33">
            <v>4.9372881399999997</v>
          </cell>
          <cell r="DG33">
            <v>5.3421282690000016</v>
          </cell>
          <cell r="DH33">
            <v>4.2899760590000016</v>
          </cell>
          <cell r="DI33">
            <v>1.05215221</v>
          </cell>
          <cell r="DJ33">
            <v>1.05215221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3.8851359300000001</v>
          </cell>
          <cell r="ED33">
            <v>0.25903500000000002</v>
          </cell>
          <cell r="EE33">
            <v>3.2832699999999999</v>
          </cell>
          <cell r="EF33">
            <v>0.34283092999999998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3.8851359300000001</v>
          </cell>
          <cell r="EN33">
            <v>0.25903500000000002</v>
          </cell>
          <cell r="EO33">
            <v>3.2832699999999999</v>
          </cell>
          <cell r="EP33">
            <v>0.34283092999999998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5.3421282690000016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6.3037113574200019</v>
          </cell>
        </row>
        <row r="34">
          <cell r="A34" t="str">
            <v>I_Che158</v>
          </cell>
          <cell r="B34" t="str">
            <v>1.1.3.1</v>
          </cell>
          <cell r="C34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I_Che158</v>
          </cell>
          <cell r="E34">
            <v>4.2839554260000012</v>
          </cell>
          <cell r="H34">
            <v>4.7638842500000003</v>
          </cell>
          <cell r="J34">
            <v>4.2839554260000012</v>
          </cell>
          <cell r="K34">
            <v>-5.7955953999998755E-2</v>
          </cell>
          <cell r="L34">
            <v>4.34191138</v>
          </cell>
          <cell r="M34">
            <v>0</v>
          </cell>
          <cell r="N34">
            <v>0</v>
          </cell>
          <cell r="O34">
            <v>1.4131579999999999E-2</v>
          </cell>
          <cell r="P34">
            <v>0</v>
          </cell>
          <cell r="Q34">
            <v>4.3277798000000001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0.42197286999999994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0.42197286999999994</v>
          </cell>
          <cell r="BM34">
            <v>0.23619411999999998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0.23619411999999998</v>
          </cell>
          <cell r="BS34">
            <v>0.18577874999999999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0.18577874999999999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1</v>
          </cell>
          <cell r="CR34">
            <v>2</v>
          </cell>
          <cell r="CS34" t="str">
            <v/>
          </cell>
          <cell r="CT34" t="str">
            <v/>
          </cell>
          <cell r="CU34" t="str">
            <v>1 2</v>
          </cell>
          <cell r="CX34">
            <v>3.6304707000000009</v>
          </cell>
          <cell r="CY34">
            <v>0.10553070000000055</v>
          </cell>
          <cell r="CZ34">
            <v>7.7170000000000002E-2</v>
          </cell>
          <cell r="DA34">
            <v>3.3668200000000001</v>
          </cell>
          <cell r="DB34">
            <v>8.0950000000000064E-2</v>
          </cell>
          <cell r="DE34">
            <v>4.0393457100000001</v>
          </cell>
          <cell r="DG34">
            <v>3.6304707000000009</v>
          </cell>
          <cell r="DH34">
            <v>-0.40887500999999915</v>
          </cell>
          <cell r="DI34">
            <v>4.0393457100000001</v>
          </cell>
          <cell r="DJ34">
            <v>0.15743962</v>
          </cell>
          <cell r="DK34">
            <v>0.235292</v>
          </cell>
          <cell r="DL34">
            <v>3.432318</v>
          </cell>
          <cell r="DM34">
            <v>0.21429608999999999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3.6304707000000009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4.0393457100000001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1</v>
          </cell>
          <cell r="GI34">
            <v>0</v>
          </cell>
          <cell r="GJ34">
            <v>1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0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0</v>
          </cell>
          <cell r="JH34">
            <v>0</v>
          </cell>
          <cell r="JI34">
            <v>0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0</v>
          </cell>
          <cell r="LK34">
            <v>0</v>
          </cell>
          <cell r="LL34">
            <v>0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2018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4.2839554260000012</v>
          </cell>
        </row>
        <row r="35">
          <cell r="A35" t="str">
            <v>I_Che159</v>
          </cell>
          <cell r="B35" t="str">
            <v>1.1.3.1</v>
          </cell>
          <cell r="C35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I_Che159</v>
          </cell>
          <cell r="E35">
            <v>6.3647901905600008</v>
          </cell>
          <cell r="H35">
            <v>7.0265916000000006</v>
          </cell>
          <cell r="J35">
            <v>6.3647901905600008</v>
          </cell>
          <cell r="K35">
            <v>-2.4427559439999413E-2</v>
          </cell>
          <cell r="L35">
            <v>6.3892177500000003</v>
          </cell>
          <cell r="M35">
            <v>0</v>
          </cell>
          <cell r="N35">
            <v>0</v>
          </cell>
          <cell r="O35">
            <v>2.4427569999999999E-2</v>
          </cell>
          <cell r="P35">
            <v>0</v>
          </cell>
          <cell r="Q35">
            <v>6.36479018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0.63737385000000013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0.63737385000000013</v>
          </cell>
          <cell r="BM35">
            <v>0.32523374000000005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0.32523374000000005</v>
          </cell>
          <cell r="BS35">
            <v>0.31214011000000003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0.31214011000000003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5.393889992000001</v>
          </cell>
          <cell r="CY35">
            <v>0.17035288135593321</v>
          </cell>
          <cell r="CZ35">
            <v>0.32378050000000003</v>
          </cell>
          <cell r="DA35">
            <v>4.7439431000000001</v>
          </cell>
          <cell r="DB35">
            <v>0.15581351064406787</v>
          </cell>
          <cell r="DE35">
            <v>5.9584648800000002</v>
          </cell>
          <cell r="DG35">
            <v>5.393889992000001</v>
          </cell>
          <cell r="DH35">
            <v>-0.56457488799999922</v>
          </cell>
          <cell r="DI35">
            <v>5.9584648800000002</v>
          </cell>
          <cell r="DJ35">
            <v>0.45200950000000001</v>
          </cell>
          <cell r="DK35">
            <v>0.485487</v>
          </cell>
          <cell r="DL35">
            <v>4.7209190000000003</v>
          </cell>
          <cell r="DM35">
            <v>0.30004938000000003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5.393889992000001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5.9584648800000002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6.3647901905600008</v>
          </cell>
        </row>
        <row r="36">
          <cell r="A36" t="str">
            <v>I_Che161</v>
          </cell>
          <cell r="B36" t="str">
            <v>1.1.3.1</v>
          </cell>
          <cell r="C36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I_Che161</v>
          </cell>
          <cell r="E36">
            <v>4.2424466839999999</v>
          </cell>
          <cell r="H36">
            <v>0.97962117999999987</v>
          </cell>
          <cell r="J36">
            <v>4.2424466839999999</v>
          </cell>
          <cell r="K36">
            <v>3.4587497439999999</v>
          </cell>
          <cell r="L36">
            <v>0.7836969399999999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0.7836969399999999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0.19592424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0.19592424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0.19592424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0.19592424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>
            <v>2</v>
          </cell>
          <cell r="CS36" t="str">
            <v/>
          </cell>
          <cell r="CT36" t="str">
            <v/>
          </cell>
          <cell r="CU36" t="str">
            <v>2</v>
          </cell>
          <cell r="CX36">
            <v>3.5952938000000003</v>
          </cell>
          <cell r="CY36">
            <v>7.0353799999999952E-2</v>
          </cell>
          <cell r="CZ36">
            <v>7.7170000000000002E-2</v>
          </cell>
          <cell r="DA36">
            <v>3.3668200000000001</v>
          </cell>
          <cell r="DB36">
            <v>8.0950000000000036E-2</v>
          </cell>
          <cell r="DE36">
            <v>11.074995919999999</v>
          </cell>
          <cell r="DG36">
            <v>3.5952938000000003</v>
          </cell>
          <cell r="DH36">
            <v>2.7651063600000003</v>
          </cell>
          <cell r="DI36">
            <v>0.83018744</v>
          </cell>
          <cell r="DJ36">
            <v>0.83018744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>
            <v>2</v>
          </cell>
          <cell r="DZ36" t="str">
            <v/>
          </cell>
          <cell r="EA36" t="str">
            <v/>
          </cell>
          <cell r="EB36" t="str">
            <v>2</v>
          </cell>
          <cell r="EC36">
            <v>10.24480848</v>
          </cell>
          <cell r="ED36">
            <v>0</v>
          </cell>
          <cell r="EE36">
            <v>0.106422</v>
          </cell>
          <cell r="EF36">
            <v>9.1964609999999993</v>
          </cell>
          <cell r="EG36">
            <v>0.94192547999999998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10.24480848</v>
          </cell>
          <cell r="EN36">
            <v>0</v>
          </cell>
          <cell r="EO36">
            <v>0.106422</v>
          </cell>
          <cell r="EP36">
            <v>9.1964609999999993</v>
          </cell>
          <cell r="EQ36">
            <v>0.94192547999999998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3.5952938000000003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2019</v>
          </cell>
          <cell r="ON36">
            <v>2019</v>
          </cell>
          <cell r="OO36">
            <v>2019</v>
          </cell>
          <cell r="OP36" t="str">
            <v>с</v>
          </cell>
          <cell r="OR36">
            <v>0</v>
          </cell>
          <cell r="OT36">
            <v>4.2424466839999999</v>
          </cell>
        </row>
        <row r="37">
          <cell r="A37" t="str">
            <v>I_Che163</v>
          </cell>
          <cell r="B37" t="str">
            <v>1.1.3.1</v>
          </cell>
          <cell r="C37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I_Che163</v>
          </cell>
          <cell r="E37">
            <v>4.2424543184767876</v>
          </cell>
          <cell r="H37">
            <v>9.6742689999999992E-2</v>
          </cell>
          <cell r="J37">
            <v>4.2424543184767876</v>
          </cell>
          <cell r="K37">
            <v>4.1650601684767876</v>
          </cell>
          <cell r="L37">
            <v>7.7394149999999995E-2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7.7394149999999995E-2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1.9348540000000001E-2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1.9348540000000001E-2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1.9348540000000001E-2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1.9348540000000001E-2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3.5953002698955827</v>
          </cell>
          <cell r="CY37">
            <v>7.0360269895582347E-2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0.65535911000000002</v>
          </cell>
          <cell r="DG37">
            <v>3.5953002698955827</v>
          </cell>
          <cell r="DH37">
            <v>3.5133149398955825</v>
          </cell>
          <cell r="DI37">
            <v>8.1985329999999995E-2</v>
          </cell>
          <cell r="DJ37">
            <v>8.1985329999999995E-2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0.57337378000000006</v>
          </cell>
          <cell r="ED37">
            <v>0</v>
          </cell>
          <cell r="EE37">
            <v>2.2460999999999998E-2</v>
          </cell>
          <cell r="EF37">
            <v>0.49929800000000002</v>
          </cell>
          <cell r="EG37">
            <v>5.1614779999999999E-2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0.57337378000000006</v>
          </cell>
          <cell r="EN37">
            <v>0</v>
          </cell>
          <cell r="EO37">
            <v>2.2460999999999998E-2</v>
          </cell>
          <cell r="EP37">
            <v>0.49929800000000002</v>
          </cell>
          <cell r="EQ37">
            <v>5.1614779999999999E-2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3.5953002698955827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0</v>
          </cell>
          <cell r="JH37">
            <v>0</v>
          </cell>
          <cell r="JI37">
            <v>0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0</v>
          </cell>
          <cell r="LK37">
            <v>0</v>
          </cell>
          <cell r="LL37">
            <v>0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4.2424543184767876</v>
          </cell>
        </row>
        <row r="38">
          <cell r="A38" t="str">
            <v>I_Che162</v>
          </cell>
          <cell r="B38" t="str">
            <v>1.1.3.1</v>
          </cell>
          <cell r="C38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I_Che162</v>
          </cell>
          <cell r="E38">
            <v>6.5126933317530007</v>
          </cell>
          <cell r="H38">
            <v>0.28165667</v>
          </cell>
          <cell r="J38">
            <v>6.5126933317530007</v>
          </cell>
          <cell r="K38">
            <v>6.2873679917530003</v>
          </cell>
          <cell r="L38">
            <v>0.22532533999999999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0.22532533999999999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5.6331329999999999E-2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5.6331329999999999E-2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5.6331329999999999E-2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5.6331329999999999E-2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5.5192316370788141</v>
          </cell>
          <cell r="CY38">
            <v>0.1768140158923735</v>
          </cell>
          <cell r="CZ38">
            <v>0.32378050000000003</v>
          </cell>
          <cell r="DA38">
            <v>4.7439431000000001</v>
          </cell>
          <cell r="DB38">
            <v>0.27469402118644076</v>
          </cell>
          <cell r="DE38">
            <v>2.7506974500000001</v>
          </cell>
          <cell r="DG38">
            <v>5.5192316370788141</v>
          </cell>
          <cell r="DH38">
            <v>5.2805395370788144</v>
          </cell>
          <cell r="DI38">
            <v>0.23869210000000002</v>
          </cell>
          <cell r="DJ38">
            <v>0.23869210000000002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2.5120053499999999</v>
          </cell>
          <cell r="ED38">
            <v>0</v>
          </cell>
          <cell r="EE38">
            <v>0.31027100000000002</v>
          </cell>
          <cell r="EF38">
            <v>1.989744</v>
          </cell>
          <cell r="EG38">
            <v>0.21199034999999999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2.5120053499999999</v>
          </cell>
          <cell r="EN38">
            <v>0</v>
          </cell>
          <cell r="EO38">
            <v>0.31027100000000002</v>
          </cell>
          <cell r="EP38">
            <v>1.989744</v>
          </cell>
          <cell r="EQ38">
            <v>0.21199034999999999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5.5192316370788141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6.5126933317530007</v>
          </cell>
        </row>
        <row r="39">
          <cell r="A39" t="str">
            <v>I_Che160</v>
          </cell>
          <cell r="B39" t="str">
            <v>1.1.3.1</v>
          </cell>
          <cell r="C39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I_Che160</v>
          </cell>
          <cell r="E39">
            <v>52.417713498000005</v>
          </cell>
          <cell r="H39">
            <v>50.443397219999994</v>
          </cell>
          <cell r="J39">
            <v>52.417713498000005</v>
          </cell>
          <cell r="K39">
            <v>5.6455181480000078</v>
          </cell>
          <cell r="L39">
            <v>46.772195349999997</v>
          </cell>
          <cell r="M39">
            <v>0</v>
          </cell>
          <cell r="N39">
            <v>0</v>
          </cell>
          <cell r="O39">
            <v>0.19774679000000001</v>
          </cell>
          <cell r="P39">
            <v>0</v>
          </cell>
          <cell r="Q39">
            <v>46.57444856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3.67120187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3.67120187</v>
          </cell>
          <cell r="BM39">
            <v>3.67120187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3.67120187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44.421791100000007</v>
          </cell>
          <cell r="CY39">
            <v>1.4410708474576301</v>
          </cell>
          <cell r="CZ39">
            <v>4.1923575</v>
          </cell>
          <cell r="DA39">
            <v>37.550650000000005</v>
          </cell>
          <cell r="DB39">
            <v>1.2377127525423726</v>
          </cell>
          <cell r="DE39">
            <v>42.77880648</v>
          </cell>
          <cell r="DG39">
            <v>44.421791100000007</v>
          </cell>
          <cell r="DH39">
            <v>1.6429846200000071</v>
          </cell>
          <cell r="DI39">
            <v>42.77880648</v>
          </cell>
          <cell r="DJ39">
            <v>1.31118866</v>
          </cell>
          <cell r="DK39">
            <v>4.4371280000000004</v>
          </cell>
          <cell r="DL39">
            <v>33.721555000000002</v>
          </cell>
          <cell r="DM39">
            <v>3.3089348199999997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44.421791100000007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42.77880648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1</v>
          </cell>
          <cell r="GI39">
            <v>0</v>
          </cell>
          <cell r="GJ39">
            <v>1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з</v>
          </cell>
          <cell r="OR39">
            <v>0</v>
          </cell>
          <cell r="OT39">
            <v>52.417713498000005</v>
          </cell>
        </row>
        <row r="40">
          <cell r="A40" t="str">
            <v>Г</v>
          </cell>
          <cell r="B40" t="str">
            <v>1.1.3.2</v>
          </cell>
          <cell r="C40" t="str">
            <v>Наименование объекта по производству электрической энергии,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852.29004287199996</v>
          </cell>
          <cell r="K40">
            <v>0</v>
          </cell>
          <cell r="L40">
            <v>852.29004287199996</v>
          </cell>
          <cell r="M40">
            <v>0</v>
          </cell>
          <cell r="N40">
            <v>0</v>
          </cell>
          <cell r="O40">
            <v>75.508838269152477</v>
          </cell>
          <cell r="P40">
            <v>178.17639041999999</v>
          </cell>
          <cell r="Q40">
            <v>598.60481432284746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3812.2178934788185</v>
          </cell>
          <cell r="CY40">
            <v>572.7289210797162</v>
          </cell>
          <cell r="CZ40">
            <v>1552.4358180467182</v>
          </cell>
          <cell r="DA40">
            <v>1396.6332410204841</v>
          </cell>
          <cell r="DB40">
            <v>351.73938608438334</v>
          </cell>
          <cell r="DE40">
            <v>0</v>
          </cell>
          <cell r="DG40">
            <v>606.57616354999993</v>
          </cell>
          <cell r="DH40">
            <v>0</v>
          </cell>
          <cell r="DI40">
            <v>606.57616354999993</v>
          </cell>
          <cell r="DJ40">
            <v>38.906113530000006</v>
          </cell>
          <cell r="DK40">
            <v>197.33895278</v>
          </cell>
          <cell r="DL40">
            <v>344.75768944999993</v>
          </cell>
          <cell r="DM40">
            <v>25.573407790000001</v>
          </cell>
          <cell r="DN40">
            <v>277.00832313952753</v>
          </cell>
          <cell r="DS40">
            <v>142.68802315457594</v>
          </cell>
          <cell r="DT40">
            <v>56.493174655273869</v>
          </cell>
          <cell r="DU40">
            <v>49.232590688265262</v>
          </cell>
          <cell r="DV40">
            <v>28.594534641412469</v>
          </cell>
          <cell r="DW40">
            <v>49.232590688265262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870.93788626000003</v>
          </cell>
          <cell r="ED40">
            <v>346.03663713000003</v>
          </cell>
          <cell r="EE40">
            <v>488.22764986999994</v>
          </cell>
          <cell r="EF40">
            <v>24.389055679999998</v>
          </cell>
          <cell r="EG40">
            <v>12.284543580000001</v>
          </cell>
          <cell r="EH40">
            <v>323.89559782000003</v>
          </cell>
          <cell r="EI40">
            <v>224.59279934</v>
          </cell>
          <cell r="EJ40">
            <v>95.952902250000008</v>
          </cell>
          <cell r="EK40">
            <v>0</v>
          </cell>
          <cell r="EL40">
            <v>3.3498962299999997</v>
          </cell>
          <cell r="EM40">
            <v>547.04228843999999</v>
          </cell>
          <cell r="EN40">
            <v>121.44383779</v>
          </cell>
          <cell r="EO40">
            <v>392.27474761999997</v>
          </cell>
          <cell r="EP40">
            <v>24.389055679999998</v>
          </cell>
          <cell r="EQ40">
            <v>8.9346473500000005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3102.5564480438834</v>
          </cell>
          <cell r="FO40">
            <v>0</v>
          </cell>
          <cell r="FP40">
            <v>175.58</v>
          </cell>
          <cell r="FQ40">
            <v>0</v>
          </cell>
          <cell r="FR40">
            <v>697.62100000000009</v>
          </cell>
          <cell r="FS40">
            <v>695.62100000000009</v>
          </cell>
          <cell r="FT40">
            <v>2</v>
          </cell>
          <cell r="FU40">
            <v>0</v>
          </cell>
          <cell r="FV40">
            <v>162</v>
          </cell>
          <cell r="FW40">
            <v>0</v>
          </cell>
          <cell r="FX40">
            <v>162</v>
          </cell>
          <cell r="FZ40">
            <v>604.26295830000004</v>
          </cell>
          <cell r="GA40">
            <v>0</v>
          </cell>
          <cell r="GB40">
            <v>10.842000000000002</v>
          </cell>
          <cell r="GC40">
            <v>0</v>
          </cell>
          <cell r="GD40">
            <v>18.175000000000001</v>
          </cell>
          <cell r="GE40">
            <v>18.175000000000001</v>
          </cell>
          <cell r="GF40">
            <v>0</v>
          </cell>
          <cell r="GG40">
            <v>0</v>
          </cell>
          <cell r="GH40">
            <v>112</v>
          </cell>
          <cell r="GI40">
            <v>0</v>
          </cell>
          <cell r="GJ40">
            <v>112</v>
          </cell>
          <cell r="GK40">
            <v>514.82344348999948</v>
          </cell>
          <cell r="GL40">
            <v>0</v>
          </cell>
          <cell r="GM40">
            <v>0</v>
          </cell>
          <cell r="GN40">
            <v>0</v>
          </cell>
          <cell r="GO40">
            <v>59.307000000000002</v>
          </cell>
          <cell r="GP40">
            <v>59.307000000000002</v>
          </cell>
          <cell r="GQ40">
            <v>0</v>
          </cell>
          <cell r="GR40">
            <v>0</v>
          </cell>
          <cell r="GS40">
            <v>1</v>
          </cell>
          <cell r="GT40">
            <v>0</v>
          </cell>
          <cell r="GU40">
            <v>1</v>
          </cell>
          <cell r="GV40">
            <v>475.62674384858701</v>
          </cell>
          <cell r="GW40">
            <v>0</v>
          </cell>
          <cell r="GX40">
            <v>0</v>
          </cell>
          <cell r="GY40">
            <v>0</v>
          </cell>
          <cell r="GZ40">
            <v>53</v>
          </cell>
          <cell r="HA40">
            <v>53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39.196699641412465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6.3069999999999995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104.98333589000001</v>
          </cell>
          <cell r="IZ40">
            <v>0</v>
          </cell>
          <cell r="JA40">
            <v>0</v>
          </cell>
          <cell r="JB40">
            <v>0</v>
          </cell>
          <cell r="JC40">
            <v>4.1915000000000004</v>
          </cell>
          <cell r="JD40">
            <v>4.1915000000000004</v>
          </cell>
          <cell r="JE40">
            <v>0</v>
          </cell>
          <cell r="JF40">
            <v>0</v>
          </cell>
          <cell r="JG40">
            <v>3</v>
          </cell>
          <cell r="JH40">
            <v>0</v>
          </cell>
          <cell r="JI40">
            <v>3</v>
          </cell>
          <cell r="JJ40">
            <v>2.0477729099999999</v>
          </cell>
          <cell r="JK40">
            <v>0</v>
          </cell>
          <cell r="JL40">
            <v>0</v>
          </cell>
          <cell r="JM40">
            <v>0</v>
          </cell>
          <cell r="JN40">
            <v>0.73250000000000004</v>
          </cell>
          <cell r="JO40">
            <v>0.73250000000000004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102.93556298</v>
          </cell>
          <cell r="JV40">
            <v>0</v>
          </cell>
          <cell r="JW40">
            <v>0</v>
          </cell>
          <cell r="JX40">
            <v>0</v>
          </cell>
          <cell r="JY40">
            <v>3.4590000000000001</v>
          </cell>
          <cell r="JZ40">
            <v>3.4590000000000001</v>
          </cell>
          <cell r="KA40">
            <v>0</v>
          </cell>
          <cell r="KB40">
            <v>0</v>
          </cell>
          <cell r="KC40">
            <v>3</v>
          </cell>
          <cell r="KD40">
            <v>0</v>
          </cell>
          <cell r="KE40">
            <v>3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>
            <v>0</v>
          </cell>
          <cell r="LR40">
            <v>0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0</v>
          </cell>
          <cell r="OM40">
            <v>0</v>
          </cell>
          <cell r="ON40">
            <v>0</v>
          </cell>
          <cell r="OO40">
            <v>0</v>
          </cell>
          <cell r="OP40">
            <v>0</v>
          </cell>
          <cell r="OR40">
            <v>0</v>
          </cell>
          <cell r="OT40">
            <v>2031.6875938646697</v>
          </cell>
        </row>
        <row r="41">
          <cell r="A41" t="str">
            <v>Г</v>
          </cell>
          <cell r="B41" t="str">
            <v>1.1.3.2</v>
          </cell>
          <cell r="C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852.29004287199996</v>
          </cell>
          <cell r="K41">
            <v>0</v>
          </cell>
          <cell r="L41">
            <v>852.29004287199996</v>
          </cell>
          <cell r="M41">
            <v>0</v>
          </cell>
          <cell r="N41">
            <v>0</v>
          </cell>
          <cell r="O41">
            <v>75.508838269152477</v>
          </cell>
          <cell r="P41">
            <v>178.17639041999999</v>
          </cell>
          <cell r="Q41">
            <v>598.60481432284746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3812.2178934788185</v>
          </cell>
          <cell r="CY41">
            <v>572.7289210797162</v>
          </cell>
          <cell r="CZ41">
            <v>1552.4358180467182</v>
          </cell>
          <cell r="DA41">
            <v>1396.6332410204841</v>
          </cell>
          <cell r="DB41">
            <v>351.73938608438334</v>
          </cell>
          <cell r="DE41">
            <v>0</v>
          </cell>
          <cell r="DG41">
            <v>606.57616354999993</v>
          </cell>
          <cell r="DH41">
            <v>0</v>
          </cell>
          <cell r="DI41">
            <v>606.57616354999993</v>
          </cell>
          <cell r="DJ41">
            <v>38.906113530000006</v>
          </cell>
          <cell r="DK41">
            <v>197.33895278</v>
          </cell>
          <cell r="DL41">
            <v>344.75768944999993</v>
          </cell>
          <cell r="DM41">
            <v>25.573407790000001</v>
          </cell>
          <cell r="DN41">
            <v>277.00832313952753</v>
          </cell>
          <cell r="DS41">
            <v>142.68802315457594</v>
          </cell>
          <cell r="DT41">
            <v>56.493174655273869</v>
          </cell>
          <cell r="DU41">
            <v>49.232590688265262</v>
          </cell>
          <cell r="DV41">
            <v>28.594534641412469</v>
          </cell>
          <cell r="DW41">
            <v>49.232590688265262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870.93788626000003</v>
          </cell>
          <cell r="ED41">
            <v>346.03663713000003</v>
          </cell>
          <cell r="EE41">
            <v>488.22764986999994</v>
          </cell>
          <cell r="EF41">
            <v>24.389055679999998</v>
          </cell>
          <cell r="EG41">
            <v>12.284543580000001</v>
          </cell>
          <cell r="EH41">
            <v>323.89559782000003</v>
          </cell>
          <cell r="EI41">
            <v>224.59279934</v>
          </cell>
          <cell r="EJ41">
            <v>95.952902250000008</v>
          </cell>
          <cell r="EK41">
            <v>0</v>
          </cell>
          <cell r="EL41">
            <v>3.3498962299999997</v>
          </cell>
          <cell r="EM41">
            <v>547.04228843999999</v>
          </cell>
          <cell r="EN41">
            <v>121.44383779</v>
          </cell>
          <cell r="EO41">
            <v>392.27474761999997</v>
          </cell>
          <cell r="EP41">
            <v>24.389055679999998</v>
          </cell>
          <cell r="EQ41">
            <v>8.9346473500000005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3102.5564480438834</v>
          </cell>
          <cell r="FO41">
            <v>0</v>
          </cell>
          <cell r="FP41">
            <v>175.58</v>
          </cell>
          <cell r="FQ41">
            <v>0</v>
          </cell>
          <cell r="FR41">
            <v>697.62100000000009</v>
          </cell>
          <cell r="FS41">
            <v>695.62100000000009</v>
          </cell>
          <cell r="FT41">
            <v>2</v>
          </cell>
          <cell r="FU41">
            <v>0</v>
          </cell>
          <cell r="FV41">
            <v>162</v>
          </cell>
          <cell r="FW41">
            <v>0</v>
          </cell>
          <cell r="FX41">
            <v>162</v>
          </cell>
          <cell r="FZ41">
            <v>604.26295830000004</v>
          </cell>
          <cell r="GA41">
            <v>0</v>
          </cell>
          <cell r="GB41">
            <v>10.842000000000002</v>
          </cell>
          <cell r="GC41">
            <v>0</v>
          </cell>
          <cell r="GD41">
            <v>18.175000000000001</v>
          </cell>
          <cell r="GE41">
            <v>18.175000000000001</v>
          </cell>
          <cell r="GF41">
            <v>0</v>
          </cell>
          <cell r="GG41">
            <v>0</v>
          </cell>
          <cell r="GH41">
            <v>112</v>
          </cell>
          <cell r="GI41">
            <v>0</v>
          </cell>
          <cell r="GJ41">
            <v>112</v>
          </cell>
          <cell r="GK41">
            <v>514.82344348999948</v>
          </cell>
          <cell r="GL41">
            <v>0</v>
          </cell>
          <cell r="GM41">
            <v>0</v>
          </cell>
          <cell r="GN41">
            <v>0</v>
          </cell>
          <cell r="GO41">
            <v>59.307000000000002</v>
          </cell>
          <cell r="GP41">
            <v>59.307000000000002</v>
          </cell>
          <cell r="GQ41">
            <v>0</v>
          </cell>
          <cell r="GR41">
            <v>0</v>
          </cell>
          <cell r="GS41">
            <v>1</v>
          </cell>
          <cell r="GT41">
            <v>0</v>
          </cell>
          <cell r="GU41">
            <v>1</v>
          </cell>
          <cell r="GV41">
            <v>475.62674384858701</v>
          </cell>
          <cell r="GW41">
            <v>0</v>
          </cell>
          <cell r="GX41">
            <v>0</v>
          </cell>
          <cell r="GY41">
            <v>0</v>
          </cell>
          <cell r="GZ41">
            <v>53</v>
          </cell>
          <cell r="HA41">
            <v>53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39.196699641412465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6.3069999999999995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104.98333589000001</v>
          </cell>
          <cell r="IZ41">
            <v>0</v>
          </cell>
          <cell r="JA41">
            <v>0</v>
          </cell>
          <cell r="JB41">
            <v>0</v>
          </cell>
          <cell r="JC41">
            <v>4.1915000000000004</v>
          </cell>
          <cell r="JD41">
            <v>4.1915000000000004</v>
          </cell>
          <cell r="JE41">
            <v>0</v>
          </cell>
          <cell r="JF41">
            <v>0</v>
          </cell>
          <cell r="JG41">
            <v>3</v>
          </cell>
          <cell r="JH41">
            <v>0</v>
          </cell>
          <cell r="JI41">
            <v>3</v>
          </cell>
          <cell r="JJ41">
            <v>2.0477729099999999</v>
          </cell>
          <cell r="JK41">
            <v>0</v>
          </cell>
          <cell r="JL41">
            <v>0</v>
          </cell>
          <cell r="JM41">
            <v>0</v>
          </cell>
          <cell r="JN41">
            <v>0.73250000000000004</v>
          </cell>
          <cell r="JO41">
            <v>0.73250000000000004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102.93556298</v>
          </cell>
          <cell r="JV41">
            <v>0</v>
          </cell>
          <cell r="JW41">
            <v>0</v>
          </cell>
          <cell r="JX41">
            <v>0</v>
          </cell>
          <cell r="JY41">
            <v>3.4590000000000001</v>
          </cell>
          <cell r="JZ41">
            <v>3.4590000000000001</v>
          </cell>
          <cell r="KA41">
            <v>0</v>
          </cell>
          <cell r="KB41">
            <v>0</v>
          </cell>
          <cell r="KC41">
            <v>3</v>
          </cell>
          <cell r="KD41">
            <v>0</v>
          </cell>
          <cell r="KE41">
            <v>3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0</v>
          </cell>
          <cell r="OM41">
            <v>0</v>
          </cell>
          <cell r="ON41">
            <v>0</v>
          </cell>
          <cell r="OO41">
            <v>0</v>
          </cell>
          <cell r="OP41">
            <v>0</v>
          </cell>
          <cell r="OR41">
            <v>0</v>
          </cell>
          <cell r="OT41">
            <v>2031.6875938646697</v>
          </cell>
        </row>
        <row r="42">
          <cell r="A42" t="str">
            <v>Г</v>
          </cell>
          <cell r="B42" t="str">
            <v>1.1.3.2</v>
          </cell>
          <cell r="C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2" t="str">
            <v>Г</v>
          </cell>
          <cell r="E42">
            <v>0</v>
          </cell>
          <cell r="H42">
            <v>0</v>
          </cell>
          <cell r="J42">
            <v>852.29004287199996</v>
          </cell>
          <cell r="K42">
            <v>0</v>
          </cell>
          <cell r="L42">
            <v>852.29004287199996</v>
          </cell>
          <cell r="M42">
            <v>0</v>
          </cell>
          <cell r="N42">
            <v>0</v>
          </cell>
          <cell r="O42">
            <v>75.508838269152477</v>
          </cell>
          <cell r="P42">
            <v>178.17639041999999</v>
          </cell>
          <cell r="Q42">
            <v>598.60481432284746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3812.2178934788185</v>
          </cell>
          <cell r="CY42">
            <v>572.7289210797162</v>
          </cell>
          <cell r="CZ42">
            <v>1552.4358180467182</v>
          </cell>
          <cell r="DA42">
            <v>1396.6332410204841</v>
          </cell>
          <cell r="DB42">
            <v>351.73938608438334</v>
          </cell>
          <cell r="DE42">
            <v>0</v>
          </cell>
          <cell r="DG42">
            <v>606.57616354999993</v>
          </cell>
          <cell r="DH42">
            <v>0</v>
          </cell>
          <cell r="DI42">
            <v>606.57616354999993</v>
          </cell>
          <cell r="DJ42">
            <v>38.906113530000006</v>
          </cell>
          <cell r="DK42">
            <v>197.33895278</v>
          </cell>
          <cell r="DL42">
            <v>344.75768944999993</v>
          </cell>
          <cell r="DM42">
            <v>25.573407790000001</v>
          </cell>
          <cell r="DN42">
            <v>277.00832313952753</v>
          </cell>
          <cell r="DS42">
            <v>142.68802315457594</v>
          </cell>
          <cell r="DT42">
            <v>56.493174655273869</v>
          </cell>
          <cell r="DU42">
            <v>49.232590688265262</v>
          </cell>
          <cell r="DV42">
            <v>28.594534641412469</v>
          </cell>
          <cell r="DW42">
            <v>49.232590688265262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870.93788626000003</v>
          </cell>
          <cell r="ED42">
            <v>346.03663713000003</v>
          </cell>
          <cell r="EE42">
            <v>488.22764986999994</v>
          </cell>
          <cell r="EF42">
            <v>24.389055679999998</v>
          </cell>
          <cell r="EG42">
            <v>12.284543580000001</v>
          </cell>
          <cell r="EH42">
            <v>323.89559782000003</v>
          </cell>
          <cell r="EI42">
            <v>224.59279934</v>
          </cell>
          <cell r="EJ42">
            <v>95.952902250000008</v>
          </cell>
          <cell r="EK42">
            <v>0</v>
          </cell>
          <cell r="EL42">
            <v>3.3498962299999997</v>
          </cell>
          <cell r="EM42">
            <v>547.04228843999999</v>
          </cell>
          <cell r="EN42">
            <v>121.44383779</v>
          </cell>
          <cell r="EO42">
            <v>392.27474761999997</v>
          </cell>
          <cell r="EP42">
            <v>24.389055679999998</v>
          </cell>
          <cell r="EQ42">
            <v>8.9346473500000005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3102.5564480438834</v>
          </cell>
          <cell r="FO42">
            <v>0</v>
          </cell>
          <cell r="FP42">
            <v>175.58</v>
          </cell>
          <cell r="FQ42">
            <v>0</v>
          </cell>
          <cell r="FR42">
            <v>697.62100000000009</v>
          </cell>
          <cell r="FS42">
            <v>695.62100000000009</v>
          </cell>
          <cell r="FT42">
            <v>2</v>
          </cell>
          <cell r="FU42">
            <v>0</v>
          </cell>
          <cell r="FV42">
            <v>162</v>
          </cell>
          <cell r="FW42">
            <v>0</v>
          </cell>
          <cell r="FX42">
            <v>162</v>
          </cell>
          <cell r="FZ42">
            <v>604.26295830000004</v>
          </cell>
          <cell r="GA42">
            <v>0</v>
          </cell>
          <cell r="GB42">
            <v>10.842000000000002</v>
          </cell>
          <cell r="GC42">
            <v>0</v>
          </cell>
          <cell r="GD42">
            <v>18.175000000000001</v>
          </cell>
          <cell r="GE42">
            <v>18.175000000000001</v>
          </cell>
          <cell r="GF42">
            <v>0</v>
          </cell>
          <cell r="GG42">
            <v>0</v>
          </cell>
          <cell r="GH42">
            <v>112</v>
          </cell>
          <cell r="GI42">
            <v>0</v>
          </cell>
          <cell r="GJ42">
            <v>112</v>
          </cell>
          <cell r="GK42">
            <v>514.82344348999948</v>
          </cell>
          <cell r="GL42">
            <v>0</v>
          </cell>
          <cell r="GM42">
            <v>0</v>
          </cell>
          <cell r="GN42">
            <v>0</v>
          </cell>
          <cell r="GO42">
            <v>59.307000000000002</v>
          </cell>
          <cell r="GP42">
            <v>59.307000000000002</v>
          </cell>
          <cell r="GQ42">
            <v>0</v>
          </cell>
          <cell r="GR42">
            <v>0</v>
          </cell>
          <cell r="GS42">
            <v>1</v>
          </cell>
          <cell r="GT42">
            <v>0</v>
          </cell>
          <cell r="GU42">
            <v>1</v>
          </cell>
          <cell r="GV42">
            <v>475.62674384858701</v>
          </cell>
          <cell r="GW42">
            <v>0</v>
          </cell>
          <cell r="GX42">
            <v>0</v>
          </cell>
          <cell r="GY42">
            <v>0</v>
          </cell>
          <cell r="GZ42">
            <v>53</v>
          </cell>
          <cell r="HA42">
            <v>53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39.196699641412465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6.3069999999999995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104.98333589000001</v>
          </cell>
          <cell r="IZ42">
            <v>0</v>
          </cell>
          <cell r="JA42">
            <v>0</v>
          </cell>
          <cell r="JB42">
            <v>0</v>
          </cell>
          <cell r="JC42">
            <v>4.1915000000000004</v>
          </cell>
          <cell r="JD42">
            <v>4.1915000000000004</v>
          </cell>
          <cell r="JE42">
            <v>0</v>
          </cell>
          <cell r="JF42">
            <v>0</v>
          </cell>
          <cell r="JG42">
            <v>3</v>
          </cell>
          <cell r="JH42">
            <v>0</v>
          </cell>
          <cell r="JI42">
            <v>3</v>
          </cell>
          <cell r="JJ42">
            <v>2.0477729099999999</v>
          </cell>
          <cell r="JK42">
            <v>0</v>
          </cell>
          <cell r="JL42">
            <v>0</v>
          </cell>
          <cell r="JM42">
            <v>0</v>
          </cell>
          <cell r="JN42">
            <v>0.73250000000000004</v>
          </cell>
          <cell r="JO42">
            <v>0.73250000000000004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102.93556298</v>
          </cell>
          <cell r="JV42">
            <v>0</v>
          </cell>
          <cell r="JW42">
            <v>0</v>
          </cell>
          <cell r="JX42">
            <v>0</v>
          </cell>
          <cell r="JY42">
            <v>3.4590000000000001</v>
          </cell>
          <cell r="JZ42">
            <v>3.4590000000000001</v>
          </cell>
          <cell r="KA42">
            <v>0</v>
          </cell>
          <cell r="KB42">
            <v>0</v>
          </cell>
          <cell r="KC42">
            <v>3</v>
          </cell>
          <cell r="KD42">
            <v>0</v>
          </cell>
          <cell r="KE42">
            <v>3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0</v>
          </cell>
          <cell r="OR42">
            <v>0</v>
          </cell>
          <cell r="OT42">
            <v>2031.6875938646697</v>
          </cell>
        </row>
        <row r="43">
          <cell r="A43" t="str">
            <v>Г</v>
          </cell>
          <cell r="B43" t="str">
            <v>1.1.3.2</v>
          </cell>
          <cell r="C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870.93788626000003</v>
          </cell>
          <cell r="ED43">
            <v>346.03663713000003</v>
          </cell>
          <cell r="EE43">
            <v>488.22764986999994</v>
          </cell>
          <cell r="EF43">
            <v>24.389055679999998</v>
          </cell>
          <cell r="EG43">
            <v>12.284543580000001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104.98333589000001</v>
          </cell>
          <cell r="IZ43">
            <v>0</v>
          </cell>
          <cell r="JA43">
            <v>0</v>
          </cell>
          <cell r="JB43">
            <v>0</v>
          </cell>
          <cell r="JC43">
            <v>4.1915000000000004</v>
          </cell>
          <cell r="JD43">
            <v>4.1915000000000004</v>
          </cell>
          <cell r="JE43">
            <v>0</v>
          </cell>
          <cell r="JF43">
            <v>0</v>
          </cell>
          <cell r="JG43">
            <v>3</v>
          </cell>
          <cell r="JH43">
            <v>0</v>
          </cell>
          <cell r="JI43">
            <v>3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2031.6875938646697</v>
          </cell>
        </row>
        <row r="44">
          <cell r="A44" t="str">
            <v>Г</v>
          </cell>
          <cell r="B44" t="str">
            <v>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68.135675169496778</v>
          </cell>
          <cell r="H44">
            <v>0.71055469999999987</v>
          </cell>
          <cell r="J44">
            <v>919.71516334149669</v>
          </cell>
          <cell r="K44">
            <v>67.425120469496775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67.347628944073051</v>
          </cell>
          <cell r="S44">
            <v>0</v>
          </cell>
          <cell r="T44">
            <v>0</v>
          </cell>
          <cell r="U44">
            <v>57.074261817011063</v>
          </cell>
          <cell r="V44">
            <v>0</v>
          </cell>
          <cell r="W44">
            <v>10.273367127061984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46.294457012153003</v>
          </cell>
          <cell r="AK44">
            <v>0</v>
          </cell>
          <cell r="AL44">
            <v>0</v>
          </cell>
          <cell r="AM44">
            <v>39.232590688265262</v>
          </cell>
          <cell r="AN44">
            <v>0</v>
          </cell>
          <cell r="AO44">
            <v>7.0618663238877417</v>
          </cell>
          <cell r="AP44">
            <v>21.053171931920044</v>
          </cell>
          <cell r="AQ44">
            <v>0</v>
          </cell>
          <cell r="AR44">
            <v>0</v>
          </cell>
          <cell r="AS44">
            <v>17.841671128745801</v>
          </cell>
          <cell r="AT44">
            <v>0</v>
          </cell>
          <cell r="AU44">
            <v>3.2115008031742427</v>
          </cell>
          <cell r="AV44">
            <v>46.294457012153003</v>
          </cell>
          <cell r="AW44">
            <v>0</v>
          </cell>
          <cell r="AX44">
            <v>0</v>
          </cell>
          <cell r="AY44">
            <v>39.232590688265262</v>
          </cell>
          <cell r="AZ44">
            <v>0</v>
          </cell>
          <cell r="BA44">
            <v>7.0618663238877417</v>
          </cell>
          <cell r="BB44" t="str">
            <v/>
          </cell>
          <cell r="BC44" t="str">
            <v/>
          </cell>
          <cell r="BD44">
            <v>3</v>
          </cell>
          <cell r="BE44">
            <v>4</v>
          </cell>
          <cell r="BF44" t="str">
            <v>3 4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0.66252877999999993</v>
          </cell>
          <cell r="DG44">
            <v>663.71500163819746</v>
          </cell>
          <cell r="DH44">
            <v>57.138838088197502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>
            <v>2</v>
          </cell>
          <cell r="DZ44" t="str">
            <v/>
          </cell>
          <cell r="EA44" t="str">
            <v/>
          </cell>
          <cell r="EB44" t="str">
            <v>2</v>
          </cell>
          <cell r="EC44">
            <v>870.93788626000003</v>
          </cell>
          <cell r="ED44">
            <v>346.03663713000003</v>
          </cell>
          <cell r="EE44">
            <v>488.22764986999994</v>
          </cell>
          <cell r="EF44">
            <v>24.389055679999998</v>
          </cell>
          <cell r="EG44">
            <v>12.284543580000001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>
            <v>2</v>
          </cell>
          <cell r="FI44">
            <v>3</v>
          </cell>
          <cell r="FJ44">
            <v>4</v>
          </cell>
          <cell r="FK44" t="str">
            <v>2 3 4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104.98333589000001</v>
          </cell>
          <cell r="IZ44">
            <v>0</v>
          </cell>
          <cell r="JA44">
            <v>0</v>
          </cell>
          <cell r="JB44">
            <v>0</v>
          </cell>
          <cell r="JC44">
            <v>4.1915000000000004</v>
          </cell>
          <cell r="JD44">
            <v>4.1915000000000004</v>
          </cell>
          <cell r="JE44">
            <v>0</v>
          </cell>
          <cell r="JF44">
            <v>0</v>
          </cell>
          <cell r="JG44">
            <v>3</v>
          </cell>
          <cell r="JH44">
            <v>0</v>
          </cell>
          <cell r="JI44">
            <v>3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2031.6875938646697</v>
          </cell>
        </row>
        <row r="45">
          <cell r="A45" t="str">
            <v>Г</v>
          </cell>
          <cell r="B45" t="str">
            <v>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870.93788626000003</v>
          </cell>
          <cell r="ED45">
            <v>346.03663713000003</v>
          </cell>
          <cell r="EE45">
            <v>488.22764986999994</v>
          </cell>
          <cell r="EF45">
            <v>24.389055679999998</v>
          </cell>
          <cell r="EG45">
            <v>12.284543580000001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104.98333589000001</v>
          </cell>
          <cell r="IZ45">
            <v>0</v>
          </cell>
          <cell r="JA45">
            <v>0</v>
          </cell>
          <cell r="JB45">
            <v>0</v>
          </cell>
          <cell r="JC45">
            <v>4.1915000000000004</v>
          </cell>
          <cell r="JD45">
            <v>4.1915000000000004</v>
          </cell>
          <cell r="JE45">
            <v>0</v>
          </cell>
          <cell r="JF45">
            <v>0</v>
          </cell>
          <cell r="JG45">
            <v>3</v>
          </cell>
          <cell r="JH45">
            <v>0</v>
          </cell>
          <cell r="JI45">
            <v>3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2031.6875938646697</v>
          </cell>
        </row>
        <row r="46">
          <cell r="A46" t="str">
            <v>Г</v>
          </cell>
          <cell r="B46" t="str">
            <v>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6" t="str">
            <v>Г</v>
          </cell>
          <cell r="E46">
            <v>68.135675169496778</v>
          </cell>
          <cell r="H46">
            <v>0.71055469999999987</v>
          </cell>
          <cell r="J46">
            <v>919.71516334149669</v>
          </cell>
          <cell r="K46">
            <v>67.425120469496775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67.347628944073051</v>
          </cell>
          <cell r="S46">
            <v>0</v>
          </cell>
          <cell r="T46">
            <v>0</v>
          </cell>
          <cell r="U46">
            <v>57.074261817011063</v>
          </cell>
          <cell r="V46">
            <v>0</v>
          </cell>
          <cell r="W46">
            <v>10.273367127061984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46.294457012153003</v>
          </cell>
          <cell r="AK46">
            <v>0</v>
          </cell>
          <cell r="AL46">
            <v>0</v>
          </cell>
          <cell r="AM46">
            <v>39.232590688265262</v>
          </cell>
          <cell r="AN46">
            <v>0</v>
          </cell>
          <cell r="AO46">
            <v>7.0618663238877417</v>
          </cell>
          <cell r="AP46">
            <v>21.053171931920044</v>
          </cell>
          <cell r="AQ46">
            <v>0</v>
          </cell>
          <cell r="AR46">
            <v>0</v>
          </cell>
          <cell r="AS46">
            <v>17.841671128745801</v>
          </cell>
          <cell r="AT46">
            <v>0</v>
          </cell>
          <cell r="AU46">
            <v>3.2115008031742427</v>
          </cell>
          <cell r="AV46">
            <v>46.294457012153003</v>
          </cell>
          <cell r="AW46">
            <v>0</v>
          </cell>
          <cell r="AX46">
            <v>0</v>
          </cell>
          <cell r="AY46">
            <v>39.232590688265262</v>
          </cell>
          <cell r="AZ46">
            <v>0</v>
          </cell>
          <cell r="BA46">
            <v>7.0618663238877417</v>
          </cell>
          <cell r="BB46" t="str">
            <v/>
          </cell>
          <cell r="BC46" t="str">
            <v/>
          </cell>
          <cell r="BD46">
            <v>3</v>
          </cell>
          <cell r="BE46">
            <v>4</v>
          </cell>
          <cell r="BF46" t="str">
            <v>3 4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0.66252877999999993</v>
          </cell>
          <cell r="DG46">
            <v>663.71500163819746</v>
          </cell>
          <cell r="DH46">
            <v>57.138838088197502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>
            <v>2</v>
          </cell>
          <cell r="DZ46" t="str">
            <v/>
          </cell>
          <cell r="EA46" t="str">
            <v/>
          </cell>
          <cell r="EB46" t="str">
            <v>2</v>
          </cell>
          <cell r="EC46">
            <v>870.93788626000003</v>
          </cell>
          <cell r="ED46">
            <v>346.03663713000003</v>
          </cell>
          <cell r="EE46">
            <v>488.22764986999994</v>
          </cell>
          <cell r="EF46">
            <v>24.389055679999998</v>
          </cell>
          <cell r="EG46">
            <v>12.284543580000001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>
            <v>2</v>
          </cell>
          <cell r="FI46">
            <v>3</v>
          </cell>
          <cell r="FJ46">
            <v>4</v>
          </cell>
          <cell r="FK46" t="str">
            <v>2 3 4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104.98333589000001</v>
          </cell>
          <cell r="IZ46">
            <v>0</v>
          </cell>
          <cell r="JA46">
            <v>0</v>
          </cell>
          <cell r="JB46">
            <v>0</v>
          </cell>
          <cell r="JC46">
            <v>4.1915000000000004</v>
          </cell>
          <cell r="JD46">
            <v>4.1915000000000004</v>
          </cell>
          <cell r="JE46">
            <v>0</v>
          </cell>
          <cell r="JF46">
            <v>0</v>
          </cell>
          <cell r="JG46">
            <v>3</v>
          </cell>
          <cell r="JH46">
            <v>0</v>
          </cell>
          <cell r="JI46">
            <v>3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2031.6875938646697</v>
          </cell>
        </row>
        <row r="47">
          <cell r="A47" t="str">
            <v>G_Che18</v>
          </cell>
          <cell r="B47" t="str">
            <v>1.1.4.2</v>
          </cell>
          <cell r="C47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47" t="str">
            <v>G_Che18</v>
          </cell>
          <cell r="E47">
            <v>21.763726631920044</v>
          </cell>
          <cell r="H47">
            <v>0.71055469999999987</v>
          </cell>
          <cell r="J47">
            <v>21.053171931920044</v>
          </cell>
          <cell r="K47">
            <v>21.053171931920044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21.053171931920044</v>
          </cell>
          <cell r="S47">
            <v>0</v>
          </cell>
          <cell r="T47">
            <v>0</v>
          </cell>
          <cell r="U47">
            <v>17.841671128745801</v>
          </cell>
          <cell r="V47">
            <v>0</v>
          </cell>
          <cell r="W47">
            <v>3.2115008031742427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 t="str">
            <v/>
          </cell>
          <cell r="BC47" t="str">
            <v/>
          </cell>
          <cell r="BD47" t="str">
            <v/>
          </cell>
          <cell r="BE47">
            <v>4</v>
          </cell>
          <cell r="BF47" t="str">
            <v>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18.443836128745801</v>
          </cell>
          <cell r="CY47">
            <v>0.60216499999999995</v>
          </cell>
          <cell r="CZ47">
            <v>4.4547850000000002</v>
          </cell>
          <cell r="DA47">
            <v>12.473398</v>
          </cell>
          <cell r="DB47">
            <v>0.91348812874580221</v>
          </cell>
          <cell r="DE47">
            <v>0.60216499999999995</v>
          </cell>
          <cell r="DG47">
            <v>17.841671128745801</v>
          </cell>
          <cell r="DH47">
            <v>17.841671128745801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17.841671128745801</v>
          </cell>
          <cell r="DS47">
            <v>0</v>
          </cell>
          <cell r="DT47">
            <v>0</v>
          </cell>
          <cell r="DU47">
            <v>0</v>
          </cell>
          <cell r="DV47">
            <v>17.841671128745801</v>
          </cell>
          <cell r="DW47">
            <v>0</v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 t="str">
            <v/>
          </cell>
          <cell r="FH47" t="str">
            <v/>
          </cell>
          <cell r="FI47">
            <v>3</v>
          </cell>
          <cell r="FJ47">
            <v>4</v>
          </cell>
          <cell r="FK47" t="str">
            <v>3 4</v>
          </cell>
          <cell r="FN47">
            <v>18.443836128745801</v>
          </cell>
          <cell r="FO47">
            <v>0</v>
          </cell>
          <cell r="FP47">
            <v>0</v>
          </cell>
          <cell r="FQ47">
            <v>0</v>
          </cell>
          <cell r="FR47">
            <v>1.399</v>
          </cell>
          <cell r="FS47">
            <v>1.399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18.443836128745801</v>
          </cell>
          <cell r="GL47">
            <v>0</v>
          </cell>
          <cell r="GM47">
            <v>0</v>
          </cell>
          <cell r="GN47">
            <v>0</v>
          </cell>
          <cell r="GO47">
            <v>1.399</v>
          </cell>
          <cell r="GP47">
            <v>1.399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18.443836128745801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1.399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2015</v>
          </cell>
          <cell r="OM47">
            <v>2019</v>
          </cell>
          <cell r="ON47">
            <v>2019</v>
          </cell>
          <cell r="OO47">
            <v>2019</v>
          </cell>
          <cell r="OP47" t="str">
            <v>с</v>
          </cell>
          <cell r="OR47">
            <v>0</v>
          </cell>
          <cell r="OT47">
            <v>21.763726631920044</v>
          </cell>
        </row>
        <row r="48">
          <cell r="A48" t="str">
            <v>I_Che134</v>
          </cell>
          <cell r="B48" t="str">
            <v>1.1.4.2</v>
          </cell>
          <cell r="C48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48" t="str">
            <v>I_Che134</v>
          </cell>
          <cell r="E48">
            <v>3.8745762711864404E-2</v>
          </cell>
          <cell r="H48">
            <v>0</v>
          </cell>
          <cell r="J48">
            <v>3.8745762711864404E-2</v>
          </cell>
          <cell r="K48">
            <v>3.8745762711864404E-2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3.2288135593220336E-2</v>
          </cell>
          <cell r="CY48">
            <v>1.7790841386003853E-3</v>
          </cell>
          <cell r="CZ48">
            <v>7.9239802745452014E-3</v>
          </cell>
          <cell r="DA48">
            <v>1.4439308943598027E-2</v>
          </cell>
          <cell r="DB48">
            <v>8.1476257664726565E-3</v>
          </cell>
          <cell r="DE48">
            <v>3.0181889999999999E-2</v>
          </cell>
          <cell r="DG48">
            <v>3.2288135593220336E-2</v>
          </cell>
          <cell r="DH48">
            <v>3.2288135593220336E-2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 t="str">
            <v/>
          </cell>
          <cell r="DY48">
            <v>2</v>
          </cell>
          <cell r="DZ48" t="str">
            <v/>
          </cell>
          <cell r="EA48" t="str">
            <v/>
          </cell>
          <cell r="EB48" t="str">
            <v>2</v>
          </cell>
          <cell r="EC48">
            <v>3.0181889999999999E-2</v>
          </cell>
          <cell r="ED48">
            <v>0</v>
          </cell>
          <cell r="EE48">
            <v>8.5986000000000005E-4</v>
          </cell>
          <cell r="EF48">
            <v>2.9322029999999999E-2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3.0181889999999999E-2</v>
          </cell>
          <cell r="EN48">
            <v>0</v>
          </cell>
          <cell r="EO48">
            <v>8.5986000000000005E-4</v>
          </cell>
          <cell r="EP48">
            <v>2.9322029999999999E-2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3.2288135593220336E-2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1</v>
          </cell>
          <cell r="FW48">
            <v>0</v>
          </cell>
          <cell r="FX48">
            <v>1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3.0181889999999999E-2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1</v>
          </cell>
          <cell r="JH48">
            <v>0</v>
          </cell>
          <cell r="JI48">
            <v>1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3.0181889999999999E-2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</v>
          </cell>
          <cell r="KD48">
            <v>0</v>
          </cell>
          <cell r="KE48">
            <v>1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2019</v>
          </cell>
          <cell r="OM48">
            <v>2019</v>
          </cell>
          <cell r="ON48">
            <v>2019</v>
          </cell>
          <cell r="OO48">
            <v>2019</v>
          </cell>
          <cell r="OP48" t="str">
            <v>п</v>
          </cell>
          <cell r="OR48">
            <v>0</v>
          </cell>
          <cell r="OT48">
            <v>3.8745762711864404E-2</v>
          </cell>
        </row>
        <row r="49">
          <cell r="A49" t="str">
            <v>I_Che135</v>
          </cell>
          <cell r="B49" t="str">
            <v>1.1.4.2</v>
          </cell>
          <cell r="C49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49" t="str">
            <v>I_Che135</v>
          </cell>
          <cell r="E49">
            <v>3.8745762711864404E-2</v>
          </cell>
          <cell r="H49">
            <v>0</v>
          </cell>
          <cell r="J49">
            <v>3.8745762711864404E-2</v>
          </cell>
          <cell r="K49">
            <v>3.8745762711864404E-2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3.2288135593220336E-2</v>
          </cell>
          <cell r="CY49">
            <v>1.7790841386003853E-3</v>
          </cell>
          <cell r="CZ49">
            <v>7.9239802745452014E-3</v>
          </cell>
          <cell r="DA49">
            <v>1.4439308943598027E-2</v>
          </cell>
          <cell r="DB49">
            <v>8.1476257664726565E-3</v>
          </cell>
          <cell r="DE49">
            <v>3.0181889999999999E-2</v>
          </cell>
          <cell r="DG49">
            <v>3.2288135593220336E-2</v>
          </cell>
          <cell r="DH49">
            <v>3.2288135593220336E-2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3.0181889999999999E-2</v>
          </cell>
          <cell r="ED49">
            <v>0</v>
          </cell>
          <cell r="EE49">
            <v>8.5986000000000005E-4</v>
          </cell>
          <cell r="EF49">
            <v>2.9322029999999999E-2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3.0181889999999999E-2</v>
          </cell>
          <cell r="EN49">
            <v>0</v>
          </cell>
          <cell r="EO49">
            <v>8.5986000000000005E-4</v>
          </cell>
          <cell r="EP49">
            <v>2.9322029999999999E-2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>
            <v>0</v>
          </cell>
          <cell r="FN49">
            <v>3.2288135593220336E-2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1</v>
          </cell>
          <cell r="FW49">
            <v>0</v>
          </cell>
          <cell r="FX49">
            <v>1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3.0181889999999999E-2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1</v>
          </cell>
          <cell r="JH49">
            <v>0</v>
          </cell>
          <cell r="JI49">
            <v>1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3.0181889999999999E-2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</v>
          </cell>
          <cell r="KD49">
            <v>0</v>
          </cell>
          <cell r="KE49">
            <v>1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2019</v>
          </cell>
          <cell r="OM49">
            <v>2019</v>
          </cell>
          <cell r="ON49">
            <v>2019</v>
          </cell>
          <cell r="OO49">
            <v>2019</v>
          </cell>
          <cell r="OP49" t="str">
            <v>п</v>
          </cell>
          <cell r="OR49">
            <v>0</v>
          </cell>
          <cell r="OT49">
            <v>3.8745762711864404E-2</v>
          </cell>
        </row>
        <row r="50">
          <cell r="A50" t="str">
            <v>H_Che82</v>
          </cell>
          <cell r="B50" t="str">
            <v>1.1.4.2</v>
          </cell>
          <cell r="C50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0" t="str">
            <v>H_Che82</v>
          </cell>
          <cell r="E50">
            <v>23.147228506076502</v>
          </cell>
          <cell r="H50">
            <v>0</v>
          </cell>
          <cell r="J50">
            <v>23.147228506076502</v>
          </cell>
          <cell r="K50">
            <v>23.147228506076502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23.147228506076502</v>
          </cell>
          <cell r="S50">
            <v>0</v>
          </cell>
          <cell r="T50">
            <v>0</v>
          </cell>
          <cell r="U50">
            <v>19.616295344132631</v>
          </cell>
          <cell r="V50">
            <v>0</v>
          </cell>
          <cell r="W50">
            <v>3.5309331619438709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23.147228506076502</v>
          </cell>
          <cell r="AK50">
            <v>0</v>
          </cell>
          <cell r="AL50">
            <v>0</v>
          </cell>
          <cell r="AM50">
            <v>19.616295344132631</v>
          </cell>
          <cell r="AN50">
            <v>0</v>
          </cell>
          <cell r="AO50">
            <v>3.5309331619438709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23.147228506076502</v>
          </cell>
          <cell r="AW50">
            <v>0</v>
          </cell>
          <cell r="AX50">
            <v>0</v>
          </cell>
          <cell r="AY50">
            <v>19.616295344132631</v>
          </cell>
          <cell r="AZ50">
            <v>0</v>
          </cell>
          <cell r="BA50">
            <v>3.5309331619438709</v>
          </cell>
          <cell r="BB50" t="str">
            <v/>
          </cell>
          <cell r="BC50" t="str">
            <v/>
          </cell>
          <cell r="BD50">
            <v>3</v>
          </cell>
          <cell r="BE50" t="str">
            <v/>
          </cell>
          <cell r="BF50" t="str">
            <v>3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19.616295344132631</v>
          </cell>
          <cell r="CY50">
            <v>1.0071758044793</v>
          </cell>
          <cell r="CZ50">
            <v>4.5870611851938303</v>
          </cell>
          <cell r="DA50">
            <v>10.899099025478799</v>
          </cell>
          <cell r="DB50">
            <v>3.12295932898071</v>
          </cell>
          <cell r="DE50">
            <v>0</v>
          </cell>
          <cell r="DG50">
            <v>19.616295344132631</v>
          </cell>
          <cell r="DH50">
            <v>19.616295344132631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19.616295344132631</v>
          </cell>
          <cell r="DS50">
            <v>0</v>
          </cell>
          <cell r="DT50">
            <v>0</v>
          </cell>
          <cell r="DU50">
            <v>19.616295344132631</v>
          </cell>
          <cell r="DV50">
            <v>0</v>
          </cell>
          <cell r="DW50">
            <v>19.616295344132631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>
            <v>2</v>
          </cell>
          <cell r="FI50" t="str">
            <v/>
          </cell>
          <cell r="FJ50" t="str">
            <v/>
          </cell>
          <cell r="FK50" t="str">
            <v>2</v>
          </cell>
          <cell r="FN50">
            <v>19.616295344132631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1</v>
          </cell>
          <cell r="FW50">
            <v>0</v>
          </cell>
          <cell r="FX50">
            <v>1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2019</v>
          </cell>
          <cell r="OM50">
            <v>2020</v>
          </cell>
          <cell r="ON50">
            <v>2019</v>
          </cell>
          <cell r="OO50">
            <v>2020</v>
          </cell>
          <cell r="OP50" t="str">
            <v>п</v>
          </cell>
          <cell r="OR50">
            <v>0</v>
          </cell>
          <cell r="OT50">
            <v>23.147228506076502</v>
          </cell>
        </row>
        <row r="51">
          <cell r="A51" t="str">
            <v>H_Che83</v>
          </cell>
          <cell r="B51" t="str">
            <v>1.1.4.2</v>
          </cell>
          <cell r="C51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1" t="str">
            <v>H_Che83</v>
          </cell>
          <cell r="E51">
            <v>23.147228506076502</v>
          </cell>
          <cell r="H51">
            <v>0</v>
          </cell>
          <cell r="J51">
            <v>23.147228506076502</v>
          </cell>
          <cell r="K51">
            <v>23.147228506076502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23.147228506076502</v>
          </cell>
          <cell r="S51">
            <v>0</v>
          </cell>
          <cell r="T51">
            <v>0</v>
          </cell>
          <cell r="U51">
            <v>19.616295344132631</v>
          </cell>
          <cell r="V51">
            <v>0</v>
          </cell>
          <cell r="W51">
            <v>3.5309331619438709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23.147228506076502</v>
          </cell>
          <cell r="AK51">
            <v>0</v>
          </cell>
          <cell r="AL51">
            <v>0</v>
          </cell>
          <cell r="AM51">
            <v>19.616295344132631</v>
          </cell>
          <cell r="AN51">
            <v>0</v>
          </cell>
          <cell r="AO51">
            <v>3.5309331619438709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23.147228506076502</v>
          </cell>
          <cell r="AW51">
            <v>0</v>
          </cell>
          <cell r="AX51">
            <v>0</v>
          </cell>
          <cell r="AY51">
            <v>19.616295344132631</v>
          </cell>
          <cell r="AZ51">
            <v>0</v>
          </cell>
          <cell r="BA51">
            <v>3.5309331619438709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19.616295344132631</v>
          </cell>
          <cell r="CY51">
            <v>1.0071758044793</v>
          </cell>
          <cell r="CZ51">
            <v>4.5870611851938303</v>
          </cell>
          <cell r="DA51">
            <v>10.899099025478799</v>
          </cell>
          <cell r="DB51">
            <v>3.12295932898071</v>
          </cell>
          <cell r="DE51">
            <v>0</v>
          </cell>
          <cell r="DG51">
            <v>19.616295344132631</v>
          </cell>
          <cell r="DH51">
            <v>19.616295344132631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19.616295344132631</v>
          </cell>
          <cell r="DS51">
            <v>0</v>
          </cell>
          <cell r="DT51">
            <v>0</v>
          </cell>
          <cell r="DU51">
            <v>19.616295344132631</v>
          </cell>
          <cell r="DV51">
            <v>0</v>
          </cell>
          <cell r="DW51">
            <v>19.616295344132631</v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>
            <v>2</v>
          </cell>
          <cell r="FI51" t="str">
            <v/>
          </cell>
          <cell r="FJ51" t="str">
            <v/>
          </cell>
          <cell r="FK51" t="str">
            <v>2</v>
          </cell>
          <cell r="FN51">
            <v>19.616295344132631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2020</v>
          </cell>
          <cell r="ON51">
            <v>2019</v>
          </cell>
          <cell r="OO51">
            <v>2020</v>
          </cell>
          <cell r="OP51" t="str">
            <v>п</v>
          </cell>
          <cell r="OR51">
            <v>0</v>
          </cell>
          <cell r="OT51">
            <v>23.147228506076502</v>
          </cell>
        </row>
        <row r="52">
          <cell r="A52" t="str">
            <v>Г</v>
          </cell>
          <cell r="B52" t="str">
            <v>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12.33106106</v>
          </cell>
          <cell r="H52">
            <v>0</v>
          </cell>
          <cell r="J52">
            <v>864.62110393199998</v>
          </cell>
          <cell r="K52">
            <v>12.33106106</v>
          </cell>
          <cell r="L52">
            <v>852.29004287199996</v>
          </cell>
          <cell r="M52">
            <v>0</v>
          </cell>
          <cell r="N52">
            <v>0</v>
          </cell>
          <cell r="O52">
            <v>75.508838269152477</v>
          </cell>
          <cell r="P52">
            <v>178.17639041999999</v>
          </cell>
          <cell r="Q52">
            <v>598.60481432284746</v>
          </cell>
          <cell r="R52">
            <v>11.8</v>
          </cell>
          <cell r="S52">
            <v>0</v>
          </cell>
          <cell r="T52">
            <v>0</v>
          </cell>
          <cell r="U52">
            <v>10</v>
          </cell>
          <cell r="V52">
            <v>0</v>
          </cell>
          <cell r="W52">
            <v>1.8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11.8</v>
          </cell>
          <cell r="AQ52">
            <v>0</v>
          </cell>
          <cell r="AR52">
            <v>0</v>
          </cell>
          <cell r="AS52">
            <v>10</v>
          </cell>
          <cell r="AT52">
            <v>0</v>
          </cell>
          <cell r="AU52">
            <v>1.8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>
            <v>4</v>
          </cell>
          <cell r="BF52" t="str">
            <v>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3812.2178934788185</v>
          </cell>
          <cell r="CY52">
            <v>572.7289210797162</v>
          </cell>
          <cell r="CZ52">
            <v>1552.4358180467182</v>
          </cell>
          <cell r="DA52">
            <v>1396.6332410204841</v>
          </cell>
          <cell r="DB52">
            <v>351.73938608438334</v>
          </cell>
          <cell r="DE52">
            <v>0.44255088999999997</v>
          </cell>
          <cell r="DG52">
            <v>617.01871443999994</v>
          </cell>
          <cell r="DH52">
            <v>10.44255089</v>
          </cell>
          <cell r="DI52">
            <v>606.57616354999993</v>
          </cell>
          <cell r="DJ52">
            <v>38.906113530000006</v>
          </cell>
          <cell r="DK52">
            <v>197.33895278</v>
          </cell>
          <cell r="DL52">
            <v>344.75768944999993</v>
          </cell>
          <cell r="DM52">
            <v>25.573407790000001</v>
          </cell>
          <cell r="DN52">
            <v>277.00832313952753</v>
          </cell>
          <cell r="DS52">
            <v>142.68802315457594</v>
          </cell>
          <cell r="DT52">
            <v>56.493174655273869</v>
          </cell>
          <cell r="DU52">
            <v>49.232590688265262</v>
          </cell>
          <cell r="DV52">
            <v>28.594534641412469</v>
          </cell>
          <cell r="DW52">
            <v>49.232590688265262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870.93788626000003</v>
          </cell>
          <cell r="ED52">
            <v>346.03663713000003</v>
          </cell>
          <cell r="EE52">
            <v>488.22764986999994</v>
          </cell>
          <cell r="EF52">
            <v>24.389055679999998</v>
          </cell>
          <cell r="EG52">
            <v>12.284543580000001</v>
          </cell>
          <cell r="EH52">
            <v>323.89559782000003</v>
          </cell>
          <cell r="EI52">
            <v>224.59279934</v>
          </cell>
          <cell r="EJ52">
            <v>95.952902250000008</v>
          </cell>
          <cell r="EK52">
            <v>0</v>
          </cell>
          <cell r="EL52">
            <v>3.3498962299999997</v>
          </cell>
          <cell r="EM52">
            <v>547.04228843999999</v>
          </cell>
          <cell r="EN52">
            <v>121.44383779</v>
          </cell>
          <cell r="EO52">
            <v>392.27474761999997</v>
          </cell>
          <cell r="EP52">
            <v>24.389055679999998</v>
          </cell>
          <cell r="EQ52">
            <v>8.9346473500000005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>
            <v>2</v>
          </cell>
          <cell r="FI52" t="str">
            <v/>
          </cell>
          <cell r="FJ52" t="str">
            <v/>
          </cell>
          <cell r="FK52" t="str">
            <v>2</v>
          </cell>
          <cell r="FN52">
            <v>3102.5564480438834</v>
          </cell>
          <cell r="FO52">
            <v>0</v>
          </cell>
          <cell r="FP52">
            <v>175.58</v>
          </cell>
          <cell r="FQ52">
            <v>0</v>
          </cell>
          <cell r="FR52">
            <v>697.62100000000009</v>
          </cell>
          <cell r="FS52">
            <v>695.62100000000009</v>
          </cell>
          <cell r="FT52">
            <v>2</v>
          </cell>
          <cell r="FU52">
            <v>0</v>
          </cell>
          <cell r="FV52">
            <v>162</v>
          </cell>
          <cell r="FW52">
            <v>0</v>
          </cell>
          <cell r="FX52">
            <v>162</v>
          </cell>
          <cell r="FZ52">
            <v>604.26295830000004</v>
          </cell>
          <cell r="GA52">
            <v>0</v>
          </cell>
          <cell r="GB52">
            <v>10.842000000000002</v>
          </cell>
          <cell r="GC52">
            <v>0</v>
          </cell>
          <cell r="GD52">
            <v>18.175000000000001</v>
          </cell>
          <cell r="GE52">
            <v>18.175000000000001</v>
          </cell>
          <cell r="GF52">
            <v>0</v>
          </cell>
          <cell r="GG52">
            <v>0</v>
          </cell>
          <cell r="GH52">
            <v>112</v>
          </cell>
          <cell r="GI52">
            <v>0</v>
          </cell>
          <cell r="GJ52">
            <v>112</v>
          </cell>
          <cell r="GK52">
            <v>514.82344348999948</v>
          </cell>
          <cell r="GL52">
            <v>0</v>
          </cell>
          <cell r="GM52">
            <v>0</v>
          </cell>
          <cell r="GN52">
            <v>0</v>
          </cell>
          <cell r="GO52">
            <v>59.307000000000002</v>
          </cell>
          <cell r="GP52">
            <v>59.307000000000002</v>
          </cell>
          <cell r="GQ52">
            <v>0</v>
          </cell>
          <cell r="GR52">
            <v>0</v>
          </cell>
          <cell r="GS52">
            <v>1</v>
          </cell>
          <cell r="GT52">
            <v>0</v>
          </cell>
          <cell r="GU52">
            <v>1</v>
          </cell>
          <cell r="GV52">
            <v>475.62674384858701</v>
          </cell>
          <cell r="GW52">
            <v>0</v>
          </cell>
          <cell r="GX52">
            <v>0</v>
          </cell>
          <cell r="GY52">
            <v>0</v>
          </cell>
          <cell r="GZ52">
            <v>53</v>
          </cell>
          <cell r="HA52">
            <v>53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39.196699641412465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6.3069999999999995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104.98333589000001</v>
          </cell>
          <cell r="IZ52">
            <v>0</v>
          </cell>
          <cell r="JA52">
            <v>0</v>
          </cell>
          <cell r="JB52">
            <v>0</v>
          </cell>
          <cell r="JC52">
            <v>4.1915000000000004</v>
          </cell>
          <cell r="JD52">
            <v>4.1915000000000004</v>
          </cell>
          <cell r="JE52">
            <v>0</v>
          </cell>
          <cell r="JF52">
            <v>0</v>
          </cell>
          <cell r="JG52">
            <v>3</v>
          </cell>
          <cell r="JH52">
            <v>0</v>
          </cell>
          <cell r="JI52">
            <v>3</v>
          </cell>
          <cell r="JJ52">
            <v>2.0477729099999999</v>
          </cell>
          <cell r="JK52">
            <v>0</v>
          </cell>
          <cell r="JL52">
            <v>0</v>
          </cell>
          <cell r="JM52">
            <v>0</v>
          </cell>
          <cell r="JN52">
            <v>0.73250000000000004</v>
          </cell>
          <cell r="JO52">
            <v>0.73250000000000004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102.93556298</v>
          </cell>
          <cell r="JV52">
            <v>0</v>
          </cell>
          <cell r="JW52">
            <v>0</v>
          </cell>
          <cell r="JX52">
            <v>0</v>
          </cell>
          <cell r="JY52">
            <v>3.4590000000000001</v>
          </cell>
          <cell r="JZ52">
            <v>3.4590000000000001</v>
          </cell>
          <cell r="KA52">
            <v>0</v>
          </cell>
          <cell r="KB52">
            <v>0</v>
          </cell>
          <cell r="KC52">
            <v>3</v>
          </cell>
          <cell r="KD52">
            <v>0</v>
          </cell>
          <cell r="KE52">
            <v>3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R52">
            <v>0</v>
          </cell>
          <cell r="OT52">
            <v>2031.6875938646697</v>
          </cell>
        </row>
        <row r="53">
          <cell r="A53" t="str">
            <v>Г</v>
          </cell>
          <cell r="B53" t="str">
            <v>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3" t="str">
            <v>Г</v>
          </cell>
          <cell r="E53">
            <v>0.53106105999999997</v>
          </cell>
          <cell r="H53">
            <v>0</v>
          </cell>
          <cell r="J53">
            <v>852.82110393199991</v>
          </cell>
          <cell r="K53">
            <v>0.53106105999999997</v>
          </cell>
          <cell r="L53">
            <v>852.29004287199996</v>
          </cell>
          <cell r="M53">
            <v>0</v>
          </cell>
          <cell r="N53">
            <v>0</v>
          </cell>
          <cell r="O53">
            <v>75.508838269152477</v>
          </cell>
          <cell r="P53">
            <v>178.17639041999999</v>
          </cell>
          <cell r="Q53">
            <v>598.60481432284746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3812.2178934788185</v>
          </cell>
          <cell r="CY53">
            <v>572.7289210797162</v>
          </cell>
          <cell r="CZ53">
            <v>1552.4358180467182</v>
          </cell>
          <cell r="DA53">
            <v>1396.6332410204841</v>
          </cell>
          <cell r="DB53">
            <v>351.73938608438334</v>
          </cell>
          <cell r="DE53">
            <v>0.44255088999999997</v>
          </cell>
          <cell r="DG53">
            <v>607.01871443999994</v>
          </cell>
          <cell r="DH53">
            <v>0.44255088999999997</v>
          </cell>
          <cell r="DI53">
            <v>606.57616354999993</v>
          </cell>
          <cell r="DJ53">
            <v>38.906113530000006</v>
          </cell>
          <cell r="DK53">
            <v>197.33895278</v>
          </cell>
          <cell r="DL53">
            <v>344.75768944999993</v>
          </cell>
          <cell r="DM53">
            <v>25.573407790000001</v>
          </cell>
          <cell r="DN53">
            <v>277.00832313952753</v>
          </cell>
          <cell r="DS53">
            <v>142.68802315457594</v>
          </cell>
          <cell r="DT53">
            <v>56.493174655273869</v>
          </cell>
          <cell r="DU53">
            <v>49.232590688265262</v>
          </cell>
          <cell r="DV53">
            <v>28.594534641412469</v>
          </cell>
          <cell r="DW53">
            <v>49.232590688265262</v>
          </cell>
          <cell r="DX53" t="str">
            <v/>
          </cell>
          <cell r="DY53">
            <v>2</v>
          </cell>
          <cell r="DZ53" t="str">
            <v/>
          </cell>
          <cell r="EA53" t="str">
            <v/>
          </cell>
          <cell r="EB53" t="str">
            <v>2</v>
          </cell>
          <cell r="EC53">
            <v>870.93788626000003</v>
          </cell>
          <cell r="ED53">
            <v>346.03663713000003</v>
          </cell>
          <cell r="EE53">
            <v>488.22764986999994</v>
          </cell>
          <cell r="EF53">
            <v>24.389055679999998</v>
          </cell>
          <cell r="EG53">
            <v>12.284543580000001</v>
          </cell>
          <cell r="EH53">
            <v>323.89559782000003</v>
          </cell>
          <cell r="EI53">
            <v>224.59279934</v>
          </cell>
          <cell r="EJ53">
            <v>95.952902250000008</v>
          </cell>
          <cell r="EK53">
            <v>0</v>
          </cell>
          <cell r="EL53">
            <v>3.3498962299999997</v>
          </cell>
          <cell r="EM53">
            <v>547.04228843999999</v>
          </cell>
          <cell r="EN53">
            <v>121.44383779</v>
          </cell>
          <cell r="EO53">
            <v>392.27474761999997</v>
          </cell>
          <cell r="EP53">
            <v>24.389055679999998</v>
          </cell>
          <cell r="EQ53">
            <v>8.9346473500000005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3102.5564480438834</v>
          </cell>
          <cell r="FO53">
            <v>0</v>
          </cell>
          <cell r="FP53">
            <v>175.58</v>
          </cell>
          <cell r="FQ53">
            <v>0</v>
          </cell>
          <cell r="FR53">
            <v>697.62100000000009</v>
          </cell>
          <cell r="FS53">
            <v>695.62100000000009</v>
          </cell>
          <cell r="FT53">
            <v>2</v>
          </cell>
          <cell r="FU53">
            <v>0</v>
          </cell>
          <cell r="FV53">
            <v>162</v>
          </cell>
          <cell r="FW53">
            <v>0</v>
          </cell>
          <cell r="FX53">
            <v>162</v>
          </cell>
          <cell r="FZ53">
            <v>604.26295830000004</v>
          </cell>
          <cell r="GA53">
            <v>0</v>
          </cell>
          <cell r="GB53">
            <v>10.842000000000002</v>
          </cell>
          <cell r="GC53">
            <v>0</v>
          </cell>
          <cell r="GD53">
            <v>18.175000000000001</v>
          </cell>
          <cell r="GE53">
            <v>18.175000000000001</v>
          </cell>
          <cell r="GF53">
            <v>0</v>
          </cell>
          <cell r="GG53">
            <v>0</v>
          </cell>
          <cell r="GH53">
            <v>112</v>
          </cell>
          <cell r="GI53">
            <v>0</v>
          </cell>
          <cell r="GJ53">
            <v>112</v>
          </cell>
          <cell r="GK53">
            <v>514.82344348999948</v>
          </cell>
          <cell r="GL53">
            <v>0</v>
          </cell>
          <cell r="GM53">
            <v>0</v>
          </cell>
          <cell r="GN53">
            <v>0</v>
          </cell>
          <cell r="GO53">
            <v>59.307000000000002</v>
          </cell>
          <cell r="GP53">
            <v>59.307000000000002</v>
          </cell>
          <cell r="GQ53">
            <v>0</v>
          </cell>
          <cell r="GR53">
            <v>0</v>
          </cell>
          <cell r="GS53">
            <v>1</v>
          </cell>
          <cell r="GT53">
            <v>0</v>
          </cell>
          <cell r="GU53">
            <v>1</v>
          </cell>
          <cell r="GV53">
            <v>475.62674384858701</v>
          </cell>
          <cell r="GW53">
            <v>0</v>
          </cell>
          <cell r="GX53">
            <v>0</v>
          </cell>
          <cell r="GY53">
            <v>0</v>
          </cell>
          <cell r="GZ53">
            <v>53</v>
          </cell>
          <cell r="HA53">
            <v>53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39.196699641412465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6.3069999999999995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104.98333589000001</v>
          </cell>
          <cell r="IZ53">
            <v>0</v>
          </cell>
          <cell r="JA53">
            <v>0</v>
          </cell>
          <cell r="JB53">
            <v>0</v>
          </cell>
          <cell r="JC53">
            <v>4.1915000000000004</v>
          </cell>
          <cell r="JD53">
            <v>4.1915000000000004</v>
          </cell>
          <cell r="JE53">
            <v>0</v>
          </cell>
          <cell r="JF53">
            <v>0</v>
          </cell>
          <cell r="JG53">
            <v>3</v>
          </cell>
          <cell r="JH53">
            <v>0</v>
          </cell>
          <cell r="JI53">
            <v>3</v>
          </cell>
          <cell r="JJ53">
            <v>2.0477729099999999</v>
          </cell>
          <cell r="JK53">
            <v>0</v>
          </cell>
          <cell r="JL53">
            <v>0</v>
          </cell>
          <cell r="JM53">
            <v>0</v>
          </cell>
          <cell r="JN53">
            <v>0.73250000000000004</v>
          </cell>
          <cell r="JO53">
            <v>0.73250000000000004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102.93556298</v>
          </cell>
          <cell r="JV53">
            <v>0</v>
          </cell>
          <cell r="JW53">
            <v>0</v>
          </cell>
          <cell r="JX53">
            <v>0</v>
          </cell>
          <cell r="JY53">
            <v>3.4590000000000001</v>
          </cell>
          <cell r="JZ53">
            <v>3.4590000000000001</v>
          </cell>
          <cell r="KA53">
            <v>0</v>
          </cell>
          <cell r="KB53">
            <v>0</v>
          </cell>
          <cell r="KC53">
            <v>3</v>
          </cell>
          <cell r="KD53">
            <v>0</v>
          </cell>
          <cell r="KE53">
            <v>3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0</v>
          </cell>
          <cell r="OR53">
            <v>0</v>
          </cell>
          <cell r="OT53">
            <v>2031.6875938646697</v>
          </cell>
        </row>
        <row r="54">
          <cell r="A54" t="str">
            <v>Г</v>
          </cell>
          <cell r="B54" t="str">
            <v>1.2.1.1</v>
          </cell>
          <cell r="C54" t="str">
            <v>Реконструкция трансформаторных и иных подстанций, всего, в том числе:</v>
          </cell>
          <cell r="D54" t="str">
            <v>Г</v>
          </cell>
          <cell r="E54">
            <v>0</v>
          </cell>
          <cell r="H54">
            <v>0</v>
          </cell>
          <cell r="J54">
            <v>852.29004287199996</v>
          </cell>
          <cell r="K54">
            <v>0</v>
          </cell>
          <cell r="L54">
            <v>852.29004287199996</v>
          </cell>
          <cell r="M54">
            <v>0</v>
          </cell>
          <cell r="N54">
            <v>0</v>
          </cell>
          <cell r="O54">
            <v>75.508838269152477</v>
          </cell>
          <cell r="P54">
            <v>178.17639041999999</v>
          </cell>
          <cell r="Q54">
            <v>598.60481432284746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3812.2178934788185</v>
          </cell>
          <cell r="CY54">
            <v>572.7289210797162</v>
          </cell>
          <cell r="CZ54">
            <v>1552.4358180467182</v>
          </cell>
          <cell r="DA54">
            <v>1396.6332410204841</v>
          </cell>
          <cell r="DB54">
            <v>351.73938608438334</v>
          </cell>
          <cell r="DE54">
            <v>0</v>
          </cell>
          <cell r="DG54">
            <v>606.57616354999993</v>
          </cell>
          <cell r="DH54">
            <v>0</v>
          </cell>
          <cell r="DI54">
            <v>606.57616354999993</v>
          </cell>
          <cell r="DJ54">
            <v>38.906113530000006</v>
          </cell>
          <cell r="DK54">
            <v>197.33895278</v>
          </cell>
          <cell r="DL54">
            <v>344.75768944999993</v>
          </cell>
          <cell r="DM54">
            <v>25.573407790000001</v>
          </cell>
          <cell r="DN54">
            <v>277.00832313952753</v>
          </cell>
          <cell r="DS54">
            <v>142.68802315457594</v>
          </cell>
          <cell r="DT54">
            <v>56.493174655273869</v>
          </cell>
          <cell r="DU54">
            <v>49.232590688265262</v>
          </cell>
          <cell r="DV54">
            <v>28.594534641412469</v>
          </cell>
          <cell r="DW54">
            <v>49.232590688265262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870.93788626000003</v>
          </cell>
          <cell r="ED54">
            <v>346.03663713000003</v>
          </cell>
          <cell r="EE54">
            <v>488.22764986999994</v>
          </cell>
          <cell r="EF54">
            <v>24.389055679999998</v>
          </cell>
          <cell r="EG54">
            <v>12.284543580000001</v>
          </cell>
          <cell r="EH54">
            <v>323.89559782000003</v>
          </cell>
          <cell r="EI54">
            <v>224.59279934</v>
          </cell>
          <cell r="EJ54">
            <v>95.952902250000008</v>
          </cell>
          <cell r="EK54">
            <v>0</v>
          </cell>
          <cell r="EL54">
            <v>3.3498962299999997</v>
          </cell>
          <cell r="EM54">
            <v>547.04228843999999</v>
          </cell>
          <cell r="EN54">
            <v>121.44383779</v>
          </cell>
          <cell r="EO54">
            <v>392.27474761999997</v>
          </cell>
          <cell r="EP54">
            <v>24.389055679999998</v>
          </cell>
          <cell r="EQ54">
            <v>8.9346473500000005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3102.5564480438834</v>
          </cell>
          <cell r="FO54">
            <v>0</v>
          </cell>
          <cell r="FP54">
            <v>175.58</v>
          </cell>
          <cell r="FQ54">
            <v>0</v>
          </cell>
          <cell r="FR54">
            <v>697.62100000000009</v>
          </cell>
          <cell r="FS54">
            <v>695.62100000000009</v>
          </cell>
          <cell r="FT54">
            <v>2</v>
          </cell>
          <cell r="FU54">
            <v>0</v>
          </cell>
          <cell r="FV54">
            <v>162</v>
          </cell>
          <cell r="FW54">
            <v>0</v>
          </cell>
          <cell r="FX54">
            <v>162</v>
          </cell>
          <cell r="FZ54">
            <v>604.26295830000004</v>
          </cell>
          <cell r="GA54">
            <v>0</v>
          </cell>
          <cell r="GB54">
            <v>10.842000000000002</v>
          </cell>
          <cell r="GC54">
            <v>0</v>
          </cell>
          <cell r="GD54">
            <v>18.175000000000001</v>
          </cell>
          <cell r="GE54">
            <v>18.175000000000001</v>
          </cell>
          <cell r="GF54">
            <v>0</v>
          </cell>
          <cell r="GG54">
            <v>0</v>
          </cell>
          <cell r="GH54">
            <v>112</v>
          </cell>
          <cell r="GI54">
            <v>0</v>
          </cell>
          <cell r="GJ54">
            <v>112</v>
          </cell>
          <cell r="GK54">
            <v>514.82344348999948</v>
          </cell>
          <cell r="GL54">
            <v>0</v>
          </cell>
          <cell r="GM54">
            <v>0</v>
          </cell>
          <cell r="GN54">
            <v>0</v>
          </cell>
          <cell r="GO54">
            <v>59.307000000000002</v>
          </cell>
          <cell r="GP54">
            <v>59.307000000000002</v>
          </cell>
          <cell r="GQ54">
            <v>0</v>
          </cell>
          <cell r="GR54">
            <v>0</v>
          </cell>
          <cell r="GS54">
            <v>1</v>
          </cell>
          <cell r="GT54">
            <v>0</v>
          </cell>
          <cell r="GU54">
            <v>1</v>
          </cell>
          <cell r="GV54">
            <v>475.62674384858701</v>
          </cell>
          <cell r="GW54">
            <v>0</v>
          </cell>
          <cell r="GX54">
            <v>0</v>
          </cell>
          <cell r="GY54">
            <v>0</v>
          </cell>
          <cell r="GZ54">
            <v>53</v>
          </cell>
          <cell r="HA54">
            <v>53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39.196699641412465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6.3069999999999995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104.98333589000001</v>
          </cell>
          <cell r="IZ54">
            <v>0</v>
          </cell>
          <cell r="JA54">
            <v>0</v>
          </cell>
          <cell r="JB54">
            <v>0</v>
          </cell>
          <cell r="JC54">
            <v>4.1915000000000004</v>
          </cell>
          <cell r="JD54">
            <v>4.1915000000000004</v>
          </cell>
          <cell r="JE54">
            <v>0</v>
          </cell>
          <cell r="JF54">
            <v>0</v>
          </cell>
          <cell r="JG54">
            <v>3</v>
          </cell>
          <cell r="JH54">
            <v>0</v>
          </cell>
          <cell r="JI54">
            <v>3</v>
          </cell>
          <cell r="JJ54">
            <v>2.0477729099999999</v>
          </cell>
          <cell r="JK54">
            <v>0</v>
          </cell>
          <cell r="JL54">
            <v>0</v>
          </cell>
          <cell r="JM54">
            <v>0</v>
          </cell>
          <cell r="JN54">
            <v>0.73250000000000004</v>
          </cell>
          <cell r="JO54">
            <v>0.73250000000000004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102.93556298</v>
          </cell>
          <cell r="JV54">
            <v>0</v>
          </cell>
          <cell r="JW54">
            <v>0</v>
          </cell>
          <cell r="JX54">
            <v>0</v>
          </cell>
          <cell r="JY54">
            <v>3.4590000000000001</v>
          </cell>
          <cell r="JZ54">
            <v>3.4590000000000001</v>
          </cell>
          <cell r="KA54">
            <v>0</v>
          </cell>
          <cell r="KB54">
            <v>0</v>
          </cell>
          <cell r="KC54">
            <v>3</v>
          </cell>
          <cell r="KD54">
            <v>0</v>
          </cell>
          <cell r="KE54">
            <v>3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0</v>
          </cell>
          <cell r="OR54">
            <v>0</v>
          </cell>
          <cell r="OT54">
            <v>2031.6875938646697</v>
          </cell>
        </row>
        <row r="55">
          <cell r="A55" t="str">
            <v>Г</v>
          </cell>
          <cell r="B55" t="str">
            <v>1.2.1.2</v>
          </cell>
          <cell r="C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5" t="str">
            <v>Г</v>
          </cell>
          <cell r="E55">
            <v>0.53106105999999997</v>
          </cell>
          <cell r="H55">
            <v>0</v>
          </cell>
          <cell r="J55">
            <v>852.82110393199991</v>
          </cell>
          <cell r="K55">
            <v>0.53106105999999997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0.44255088999999997</v>
          </cell>
          <cell r="DG55">
            <v>607.01871443999994</v>
          </cell>
          <cell r="DH55">
            <v>0.44255088999999997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870.93788626000003</v>
          </cell>
          <cell r="ED55">
            <v>346.03663713000003</v>
          </cell>
          <cell r="EE55">
            <v>488.22764986999994</v>
          </cell>
          <cell r="EF55">
            <v>24.389055679999998</v>
          </cell>
          <cell r="EG55">
            <v>12.284543580000001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>
            <v>0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104.98333589000001</v>
          </cell>
          <cell r="IZ55">
            <v>0</v>
          </cell>
          <cell r="JA55">
            <v>0</v>
          </cell>
          <cell r="JB55">
            <v>0</v>
          </cell>
          <cell r="JC55">
            <v>4.1915000000000004</v>
          </cell>
          <cell r="JD55">
            <v>4.1915000000000004</v>
          </cell>
          <cell r="JE55">
            <v>0</v>
          </cell>
          <cell r="JF55">
            <v>0</v>
          </cell>
          <cell r="JG55">
            <v>3</v>
          </cell>
          <cell r="JH55">
            <v>0</v>
          </cell>
          <cell r="JI55">
            <v>3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2031.6875938646697</v>
          </cell>
        </row>
        <row r="56">
          <cell r="A56" t="str">
            <v>J_Che251_19</v>
          </cell>
          <cell r="B56" t="str">
            <v>1.2.1.2</v>
          </cell>
          <cell r="C56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56" t="str">
            <v>J_Che251_19</v>
          </cell>
          <cell r="E56" t="str">
            <v>нд</v>
          </cell>
          <cell r="H56">
            <v>0</v>
          </cell>
          <cell r="J56">
            <v>0.53106105999999997</v>
          </cell>
          <cell r="K56">
            <v>0.53106105999999997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>
            <v>1</v>
          </cell>
          <cell r="BC56">
            <v>2</v>
          </cell>
          <cell r="BD56">
            <v>3</v>
          </cell>
          <cell r="BE56">
            <v>4</v>
          </cell>
          <cell r="BF56" t="str">
            <v>1 2 3 4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 t="str">
            <v>нд</v>
          </cell>
          <cell r="CY56" t="str">
            <v>нд</v>
          </cell>
          <cell r="CZ56" t="str">
            <v>нд</v>
          </cell>
          <cell r="DA56" t="str">
            <v>нд</v>
          </cell>
          <cell r="DB56" t="str">
            <v>нд</v>
          </cell>
          <cell r="DE56">
            <v>0.44255088999999997</v>
          </cell>
          <cell r="DG56">
            <v>0.44255088999999997</v>
          </cell>
          <cell r="DH56">
            <v>0.44255088999999997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 t="str">
            <v>нд</v>
          </cell>
          <cell r="DS56" t="str">
            <v>нд</v>
          </cell>
          <cell r="DT56" t="str">
            <v>нд</v>
          </cell>
          <cell r="DU56" t="str">
            <v>нд</v>
          </cell>
          <cell r="DV56" t="str">
            <v>нд</v>
          </cell>
          <cell r="DW56" t="str">
            <v>нд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0.44255088999999997</v>
          </cell>
          <cell r="ED56">
            <v>2.811E-2</v>
          </cell>
          <cell r="EE56">
            <v>9.6319000000000005E-3</v>
          </cell>
          <cell r="EF56">
            <v>0.37501196999999997</v>
          </cell>
          <cell r="EG56">
            <v>2.979702E-2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0.44255088999999997</v>
          </cell>
          <cell r="EN56">
            <v>2.811E-2</v>
          </cell>
          <cell r="EO56">
            <v>9.6319000000000005E-3</v>
          </cell>
          <cell r="EP56">
            <v>0.37501196999999997</v>
          </cell>
          <cell r="EQ56">
            <v>2.979702E-2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2</v>
          </cell>
          <cell r="FI56">
            <v>3</v>
          </cell>
          <cell r="FJ56">
            <v>4</v>
          </cell>
          <cell r="FK56" t="str">
            <v>1 2 3 4</v>
          </cell>
          <cell r="FN56" t="str">
            <v>нд</v>
          </cell>
          <cell r="FO56" t="str">
            <v>нд</v>
          </cell>
          <cell r="FP56" t="str">
            <v>нд</v>
          </cell>
          <cell r="FQ56" t="str">
            <v>нд</v>
          </cell>
          <cell r="FR56" t="str">
            <v>нд</v>
          </cell>
          <cell r="FS56" t="str">
            <v>нд</v>
          </cell>
          <cell r="FT56" t="str">
            <v>нд</v>
          </cell>
          <cell r="FU56" t="str">
            <v>нд</v>
          </cell>
          <cell r="FV56" t="str">
            <v>нд</v>
          </cell>
          <cell r="FW56" t="str">
            <v>нд</v>
          </cell>
          <cell r="FX56" t="str">
            <v>нд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 t="str">
            <v>нд</v>
          </cell>
          <cell r="GL56" t="str">
            <v>нд</v>
          </cell>
          <cell r="GM56" t="str">
            <v>нд</v>
          </cell>
          <cell r="GN56" t="str">
            <v>нд</v>
          </cell>
          <cell r="GO56" t="str">
            <v>нд</v>
          </cell>
          <cell r="GP56" t="str">
            <v>нд</v>
          </cell>
          <cell r="GQ56" t="str">
            <v>нд</v>
          </cell>
          <cell r="GR56" t="str">
            <v>нд</v>
          </cell>
          <cell r="GS56" t="str">
            <v>нд</v>
          </cell>
          <cell r="GT56" t="str">
            <v>нд</v>
          </cell>
          <cell r="GU56" t="str">
            <v>нд</v>
          </cell>
          <cell r="GV56" t="str">
            <v>нд</v>
          </cell>
          <cell r="GW56" t="str">
            <v>нд</v>
          </cell>
          <cell r="GX56" t="str">
            <v>нд</v>
          </cell>
          <cell r="GY56" t="str">
            <v>нд</v>
          </cell>
          <cell r="GZ56" t="str">
            <v>нд</v>
          </cell>
          <cell r="HA56" t="str">
            <v>нд</v>
          </cell>
          <cell r="HB56" t="str">
            <v>нд</v>
          </cell>
          <cell r="HC56" t="str">
            <v>нд</v>
          </cell>
          <cell r="HD56" t="str">
            <v>нд</v>
          </cell>
          <cell r="HE56" t="str">
            <v>нд</v>
          </cell>
          <cell r="HF56" t="str">
            <v>нд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 t="str">
            <v>нд</v>
          </cell>
          <cell r="HM56" t="str">
            <v>нд</v>
          </cell>
          <cell r="HN56" t="str">
            <v>нд</v>
          </cell>
          <cell r="HO56" t="str">
            <v>нд</v>
          </cell>
          <cell r="HP56" t="str">
            <v>нд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 t="str">
            <v>нд</v>
          </cell>
          <cell r="HW56" t="str">
            <v>нд</v>
          </cell>
          <cell r="HX56" t="str">
            <v>нд</v>
          </cell>
          <cell r="HY56" t="str">
            <v>нд</v>
          </cell>
          <cell r="HZ56" t="str">
            <v>нд</v>
          </cell>
          <cell r="IA56" t="str">
            <v>нд</v>
          </cell>
          <cell r="IB56" t="str">
            <v>нд</v>
          </cell>
          <cell r="IC56" t="str">
            <v>нд</v>
          </cell>
          <cell r="ID56">
            <v>0</v>
          </cell>
          <cell r="IE56" t="str">
            <v>нд</v>
          </cell>
          <cell r="IF56">
            <v>0</v>
          </cell>
          <cell r="IG56">
            <v>0</v>
          </cell>
          <cell r="IH56" t="str">
            <v>нд</v>
          </cell>
          <cell r="II56" t="str">
            <v>нд</v>
          </cell>
          <cell r="IJ56" t="str">
            <v>нд</v>
          </cell>
          <cell r="IK56">
            <v>0</v>
          </cell>
          <cell r="IL56">
            <v>0</v>
          </cell>
          <cell r="IM56">
            <v>0</v>
          </cell>
          <cell r="IN56" t="str">
            <v>нд</v>
          </cell>
          <cell r="IO56" t="str">
            <v>нд</v>
          </cell>
          <cell r="IP56" t="str">
            <v>нд</v>
          </cell>
          <cell r="IQ56" t="str">
            <v>нд</v>
          </cell>
          <cell r="IR56" t="str">
            <v>нд</v>
          </cell>
          <cell r="IS56" t="str">
            <v>нд</v>
          </cell>
          <cell r="IT56" t="str">
            <v>нд</v>
          </cell>
          <cell r="IU56" t="str">
            <v>нд</v>
          </cell>
          <cell r="IV56" t="str">
            <v>нд</v>
          </cell>
          <cell r="IW56" t="str">
            <v>нд</v>
          </cell>
          <cell r="IX56" t="str">
            <v>нд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 t="str">
            <v>нд</v>
          </cell>
          <cell r="LR56" t="str">
            <v>нд</v>
          </cell>
          <cell r="LS56" t="str">
            <v>нд</v>
          </cell>
          <cell r="LT56" t="str">
            <v>нд</v>
          </cell>
          <cell r="LU56" t="str">
            <v>нд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 t="str">
            <v>нд</v>
          </cell>
          <cell r="MD56" t="str">
            <v>нд</v>
          </cell>
          <cell r="ME56" t="str">
            <v>нд</v>
          </cell>
          <cell r="MF56" t="str">
            <v>нд</v>
          </cell>
          <cell r="MG56" t="str">
            <v>нд</v>
          </cell>
          <cell r="MH56" t="str">
            <v>нд</v>
          </cell>
          <cell r="MI56" t="str">
            <v>нд</v>
          </cell>
          <cell r="MJ56" t="str">
            <v>нд</v>
          </cell>
          <cell r="MK56" t="str">
            <v>нд</v>
          </cell>
          <cell r="ML56" t="str">
            <v>нд</v>
          </cell>
          <cell r="MM56" t="str">
            <v>нд</v>
          </cell>
          <cell r="MN56" t="str">
            <v>нд</v>
          </cell>
          <cell r="MO56" t="str">
            <v>нд</v>
          </cell>
          <cell r="MP56" t="str">
            <v>нд</v>
          </cell>
          <cell r="MQ56" t="str">
            <v>нд</v>
          </cell>
          <cell r="MR56" t="str">
            <v>нд</v>
          </cell>
          <cell r="MS56" t="str">
            <v>нд</v>
          </cell>
          <cell r="MT56" t="str">
            <v>нд</v>
          </cell>
          <cell r="MU56" t="str">
            <v>нд</v>
          </cell>
          <cell r="MV56" t="str">
            <v>нд</v>
          </cell>
          <cell r="MW56" t="str">
            <v>нд</v>
          </cell>
          <cell r="MX56" t="str">
            <v>нд</v>
          </cell>
          <cell r="MY56" t="str">
            <v>нд</v>
          </cell>
          <cell r="MZ56" t="str">
            <v>нд</v>
          </cell>
          <cell r="NA56" t="str">
            <v>нд</v>
          </cell>
          <cell r="NB56" t="str">
            <v>нд</v>
          </cell>
          <cell r="NC56" t="str">
            <v>нд</v>
          </cell>
          <cell r="ND56" t="str">
            <v>нд</v>
          </cell>
          <cell r="NE56" t="str">
            <v>нд</v>
          </cell>
          <cell r="NF56" t="str">
            <v>нд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2019</v>
          </cell>
          <cell r="OM56">
            <v>2019</v>
          </cell>
          <cell r="ON56">
            <v>2019</v>
          </cell>
          <cell r="OO56">
            <v>2019</v>
          </cell>
          <cell r="OP56" t="str">
            <v>п</v>
          </cell>
          <cell r="OR56">
            <v>0</v>
          </cell>
          <cell r="OT56">
            <v>0.53106105999999997</v>
          </cell>
        </row>
        <row r="57">
          <cell r="A57" t="str">
            <v>Г</v>
          </cell>
          <cell r="B57" t="str">
            <v>1.2.2</v>
          </cell>
          <cell r="C57" t="str">
            <v>Реконструкция, модернизация, техническое перевооружение линий электропередачи,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870.93788626000003</v>
          </cell>
          <cell r="ED57">
            <v>346.03663713000003</v>
          </cell>
          <cell r="EE57">
            <v>488.22764986999994</v>
          </cell>
          <cell r="EF57">
            <v>24.389055679999998</v>
          </cell>
          <cell r="EG57">
            <v>12.284543580000001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104.98333589000001</v>
          </cell>
          <cell r="IZ57">
            <v>0</v>
          </cell>
          <cell r="JA57">
            <v>0</v>
          </cell>
          <cell r="JB57">
            <v>0</v>
          </cell>
          <cell r="JC57">
            <v>4.1915000000000004</v>
          </cell>
          <cell r="JD57">
            <v>4.1915000000000004</v>
          </cell>
          <cell r="JE57">
            <v>0</v>
          </cell>
          <cell r="JF57">
            <v>0</v>
          </cell>
          <cell r="JG57">
            <v>3</v>
          </cell>
          <cell r="JH57">
            <v>0</v>
          </cell>
          <cell r="JI57">
            <v>3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2031.6875938646697</v>
          </cell>
        </row>
        <row r="58">
          <cell r="A58" t="str">
            <v>Г</v>
          </cell>
          <cell r="B58" t="str">
            <v>1.2.2.1</v>
          </cell>
          <cell r="C58" t="str">
            <v>Реконструкция линий электропередачи, всего, в том числе:</v>
          </cell>
          <cell r="D58" t="str">
            <v>Г</v>
          </cell>
          <cell r="E58">
            <v>0</v>
          </cell>
          <cell r="H58">
            <v>0</v>
          </cell>
          <cell r="J58">
            <v>852.29004287199996</v>
          </cell>
          <cell r="K58">
            <v>0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0</v>
          </cell>
          <cell r="DG58">
            <v>606.57616354999993</v>
          </cell>
          <cell r="DH58">
            <v>0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870.93788626000003</v>
          </cell>
          <cell r="ED58">
            <v>346.03663713000003</v>
          </cell>
          <cell r="EE58">
            <v>488.22764986999994</v>
          </cell>
          <cell r="EF58">
            <v>24.389055679999998</v>
          </cell>
          <cell r="EG58">
            <v>12.284543580000001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104.98333589000001</v>
          </cell>
          <cell r="IZ58">
            <v>0</v>
          </cell>
          <cell r="JA58">
            <v>0</v>
          </cell>
          <cell r="JB58">
            <v>0</v>
          </cell>
          <cell r="JC58">
            <v>4.1915000000000004</v>
          </cell>
          <cell r="JD58">
            <v>4.1915000000000004</v>
          </cell>
          <cell r="JE58">
            <v>0</v>
          </cell>
          <cell r="JF58">
            <v>0</v>
          </cell>
          <cell r="JG58">
            <v>3</v>
          </cell>
          <cell r="JH58">
            <v>0</v>
          </cell>
          <cell r="JI58">
            <v>3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2031.6875938646697</v>
          </cell>
        </row>
        <row r="59">
          <cell r="A59" t="str">
            <v>Г</v>
          </cell>
          <cell r="B59" t="str">
            <v>1.2.2.2</v>
          </cell>
          <cell r="C59" t="str">
            <v>Модернизация, техническое перевооружение линий электропередачи, всего, в том числе:</v>
          </cell>
          <cell r="D59" t="str">
            <v>Г</v>
          </cell>
          <cell r="E59">
            <v>0</v>
          </cell>
          <cell r="H59">
            <v>0</v>
          </cell>
          <cell r="J59">
            <v>852.29004287199996</v>
          </cell>
          <cell r="K59">
            <v>0</v>
          </cell>
          <cell r="L59">
            <v>852.29004287199996</v>
          </cell>
          <cell r="M59">
            <v>0</v>
          </cell>
          <cell r="N59">
            <v>0</v>
          </cell>
          <cell r="O59">
            <v>75.508838269152477</v>
          </cell>
          <cell r="P59">
            <v>178.17639041999999</v>
          </cell>
          <cell r="Q59">
            <v>598.60481432284746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3812.2178934788185</v>
          </cell>
          <cell r="CY59">
            <v>572.7289210797162</v>
          </cell>
          <cell r="CZ59">
            <v>1552.4358180467182</v>
          </cell>
          <cell r="DA59">
            <v>1396.6332410204841</v>
          </cell>
          <cell r="DB59">
            <v>351.73938608438334</v>
          </cell>
          <cell r="DE59">
            <v>0</v>
          </cell>
          <cell r="DG59">
            <v>606.57616354999993</v>
          </cell>
          <cell r="DH59">
            <v>0</v>
          </cell>
          <cell r="DI59">
            <v>606.57616354999993</v>
          </cell>
          <cell r="DJ59">
            <v>38.906113530000006</v>
          </cell>
          <cell r="DK59">
            <v>197.33895278</v>
          </cell>
          <cell r="DL59">
            <v>344.75768944999993</v>
          </cell>
          <cell r="DM59">
            <v>25.573407790000001</v>
          </cell>
          <cell r="DN59">
            <v>277.00832313952753</v>
          </cell>
          <cell r="DS59">
            <v>142.68802315457594</v>
          </cell>
          <cell r="DT59">
            <v>56.493174655273869</v>
          </cell>
          <cell r="DU59">
            <v>49.232590688265262</v>
          </cell>
          <cell r="DV59">
            <v>28.594534641412469</v>
          </cell>
          <cell r="DW59">
            <v>49.232590688265262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870.93788626000003</v>
          </cell>
          <cell r="ED59">
            <v>346.03663713000003</v>
          </cell>
          <cell r="EE59">
            <v>488.22764986999994</v>
          </cell>
          <cell r="EF59">
            <v>24.389055679999998</v>
          </cell>
          <cell r="EG59">
            <v>12.284543580000001</v>
          </cell>
          <cell r="EH59">
            <v>323.89559782000003</v>
          </cell>
          <cell r="EI59">
            <v>224.59279934</v>
          </cell>
          <cell r="EJ59">
            <v>95.952902250000008</v>
          </cell>
          <cell r="EK59">
            <v>0</v>
          </cell>
          <cell r="EL59">
            <v>3.3498962299999997</v>
          </cell>
          <cell r="EM59">
            <v>547.04228843999999</v>
          </cell>
          <cell r="EN59">
            <v>121.44383779</v>
          </cell>
          <cell r="EO59">
            <v>392.27474761999997</v>
          </cell>
          <cell r="EP59">
            <v>24.389055679999998</v>
          </cell>
          <cell r="EQ59">
            <v>8.9346473500000005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3102.5564480438834</v>
          </cell>
          <cell r="FO59">
            <v>0</v>
          </cell>
          <cell r="FP59">
            <v>175.58</v>
          </cell>
          <cell r="FQ59">
            <v>0</v>
          </cell>
          <cell r="FR59">
            <v>697.62100000000009</v>
          </cell>
          <cell r="FS59">
            <v>695.62100000000009</v>
          </cell>
          <cell r="FT59">
            <v>2</v>
          </cell>
          <cell r="FU59">
            <v>0</v>
          </cell>
          <cell r="FV59">
            <v>162</v>
          </cell>
          <cell r="FW59">
            <v>0</v>
          </cell>
          <cell r="FX59">
            <v>162</v>
          </cell>
          <cell r="FZ59">
            <v>604.26295830000004</v>
          </cell>
          <cell r="GA59">
            <v>0</v>
          </cell>
          <cell r="GB59">
            <v>10.842000000000002</v>
          </cell>
          <cell r="GC59">
            <v>0</v>
          </cell>
          <cell r="GD59">
            <v>18.175000000000001</v>
          </cell>
          <cell r="GE59">
            <v>18.175000000000001</v>
          </cell>
          <cell r="GF59">
            <v>0</v>
          </cell>
          <cell r="GG59">
            <v>0</v>
          </cell>
          <cell r="GH59">
            <v>112</v>
          </cell>
          <cell r="GI59">
            <v>0</v>
          </cell>
          <cell r="GJ59">
            <v>112</v>
          </cell>
          <cell r="GK59">
            <v>514.82344348999948</v>
          </cell>
          <cell r="GL59">
            <v>0</v>
          </cell>
          <cell r="GM59">
            <v>0</v>
          </cell>
          <cell r="GN59">
            <v>0</v>
          </cell>
          <cell r="GO59">
            <v>59.307000000000002</v>
          </cell>
          <cell r="GP59">
            <v>59.307000000000002</v>
          </cell>
          <cell r="GQ59">
            <v>0</v>
          </cell>
          <cell r="GR59">
            <v>0</v>
          </cell>
          <cell r="GS59">
            <v>1</v>
          </cell>
          <cell r="GT59">
            <v>0</v>
          </cell>
          <cell r="GU59">
            <v>1</v>
          </cell>
          <cell r="GV59">
            <v>475.62674384858701</v>
          </cell>
          <cell r="GW59">
            <v>0</v>
          </cell>
          <cell r="GX59">
            <v>0</v>
          </cell>
          <cell r="GY59">
            <v>0</v>
          </cell>
          <cell r="GZ59">
            <v>53</v>
          </cell>
          <cell r="HA59">
            <v>53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39.196699641412465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6.3069999999999995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104.98333589000001</v>
          </cell>
          <cell r="IZ59">
            <v>0</v>
          </cell>
          <cell r="JA59">
            <v>0</v>
          </cell>
          <cell r="JB59">
            <v>0</v>
          </cell>
          <cell r="JC59">
            <v>4.1915000000000004</v>
          </cell>
          <cell r="JD59">
            <v>4.1915000000000004</v>
          </cell>
          <cell r="JE59">
            <v>0</v>
          </cell>
          <cell r="JF59">
            <v>0</v>
          </cell>
          <cell r="JG59">
            <v>3</v>
          </cell>
          <cell r="JH59">
            <v>0</v>
          </cell>
          <cell r="JI59">
            <v>3</v>
          </cell>
          <cell r="JJ59">
            <v>2.0477729099999999</v>
          </cell>
          <cell r="JK59">
            <v>0</v>
          </cell>
          <cell r="JL59">
            <v>0</v>
          </cell>
          <cell r="JM59">
            <v>0</v>
          </cell>
          <cell r="JN59">
            <v>0.73250000000000004</v>
          </cell>
          <cell r="JO59">
            <v>0.73250000000000004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102.93556298</v>
          </cell>
          <cell r="JV59">
            <v>0</v>
          </cell>
          <cell r="JW59">
            <v>0</v>
          </cell>
          <cell r="JX59">
            <v>0</v>
          </cell>
          <cell r="JY59">
            <v>3.4590000000000001</v>
          </cell>
          <cell r="JZ59">
            <v>3.4590000000000001</v>
          </cell>
          <cell r="KA59">
            <v>0</v>
          </cell>
          <cell r="KB59">
            <v>0</v>
          </cell>
          <cell r="KC59">
            <v>3</v>
          </cell>
          <cell r="KD59">
            <v>0</v>
          </cell>
          <cell r="KE59">
            <v>3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R59">
            <v>0</v>
          </cell>
          <cell r="OT59">
            <v>2031.6875938646697</v>
          </cell>
        </row>
        <row r="60">
          <cell r="A60" t="str">
            <v>Г</v>
          </cell>
          <cell r="B60" t="str">
            <v>1.2.3</v>
          </cell>
          <cell r="C60" t="str">
            <v>Развитие и модернизация учета электрической энергии (мощности),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852.29004287199996</v>
          </cell>
          <cell r="K60">
            <v>0</v>
          </cell>
          <cell r="L60">
            <v>852.29004287199996</v>
          </cell>
          <cell r="M60">
            <v>0</v>
          </cell>
          <cell r="N60">
            <v>0</v>
          </cell>
          <cell r="O60">
            <v>75.508838269152477</v>
          </cell>
          <cell r="P60">
            <v>178.17639041999999</v>
          </cell>
          <cell r="Q60">
            <v>598.60481432284746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3812.2178934788185</v>
          </cell>
          <cell r="CY60">
            <v>572.7289210797162</v>
          </cell>
          <cell r="CZ60">
            <v>1552.4358180467182</v>
          </cell>
          <cell r="DA60">
            <v>1396.6332410204841</v>
          </cell>
          <cell r="DB60">
            <v>351.73938608438334</v>
          </cell>
          <cell r="DE60">
            <v>0</v>
          </cell>
          <cell r="DG60">
            <v>606.57616354999993</v>
          </cell>
          <cell r="DH60">
            <v>0</v>
          </cell>
          <cell r="DI60">
            <v>606.57616354999993</v>
          </cell>
          <cell r="DJ60">
            <v>38.906113530000006</v>
          </cell>
          <cell r="DK60">
            <v>197.33895278</v>
          </cell>
          <cell r="DL60">
            <v>344.75768944999993</v>
          </cell>
          <cell r="DM60">
            <v>25.573407790000001</v>
          </cell>
          <cell r="DN60">
            <v>277.00832313952753</v>
          </cell>
          <cell r="DS60">
            <v>142.68802315457594</v>
          </cell>
          <cell r="DT60">
            <v>56.493174655273869</v>
          </cell>
          <cell r="DU60">
            <v>49.232590688265262</v>
          </cell>
          <cell r="DV60">
            <v>28.594534641412469</v>
          </cell>
          <cell r="DW60">
            <v>49.232590688265262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870.93788626000003</v>
          </cell>
          <cell r="ED60">
            <v>346.03663713000003</v>
          </cell>
          <cell r="EE60">
            <v>488.22764986999994</v>
          </cell>
          <cell r="EF60">
            <v>24.389055679999998</v>
          </cell>
          <cell r="EG60">
            <v>12.284543580000001</v>
          </cell>
          <cell r="EH60">
            <v>323.89559782000003</v>
          </cell>
          <cell r="EI60">
            <v>224.59279934</v>
          </cell>
          <cell r="EJ60">
            <v>95.952902250000008</v>
          </cell>
          <cell r="EK60">
            <v>0</v>
          </cell>
          <cell r="EL60">
            <v>3.3498962299999997</v>
          </cell>
          <cell r="EM60">
            <v>547.04228843999999</v>
          </cell>
          <cell r="EN60">
            <v>121.44383779</v>
          </cell>
          <cell r="EO60">
            <v>392.27474761999997</v>
          </cell>
          <cell r="EP60">
            <v>24.389055679999998</v>
          </cell>
          <cell r="EQ60">
            <v>8.9346473500000005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3102.5564480438834</v>
          </cell>
          <cell r="FO60">
            <v>0</v>
          </cell>
          <cell r="FP60">
            <v>175.58</v>
          </cell>
          <cell r="FQ60">
            <v>0</v>
          </cell>
          <cell r="FR60">
            <v>697.62100000000009</v>
          </cell>
          <cell r="FS60">
            <v>695.62100000000009</v>
          </cell>
          <cell r="FT60">
            <v>2</v>
          </cell>
          <cell r="FU60">
            <v>0</v>
          </cell>
          <cell r="FV60">
            <v>162</v>
          </cell>
          <cell r="FW60">
            <v>0</v>
          </cell>
          <cell r="FX60">
            <v>162</v>
          </cell>
          <cell r="FZ60">
            <v>604.26295830000004</v>
          </cell>
          <cell r="GA60">
            <v>0</v>
          </cell>
          <cell r="GB60">
            <v>10.842000000000002</v>
          </cell>
          <cell r="GC60">
            <v>0</v>
          </cell>
          <cell r="GD60">
            <v>18.175000000000001</v>
          </cell>
          <cell r="GE60">
            <v>18.175000000000001</v>
          </cell>
          <cell r="GF60">
            <v>0</v>
          </cell>
          <cell r="GG60">
            <v>0</v>
          </cell>
          <cell r="GH60">
            <v>112</v>
          </cell>
          <cell r="GI60">
            <v>0</v>
          </cell>
          <cell r="GJ60">
            <v>112</v>
          </cell>
          <cell r="GK60">
            <v>514.82344348999948</v>
          </cell>
          <cell r="GL60">
            <v>0</v>
          </cell>
          <cell r="GM60">
            <v>0</v>
          </cell>
          <cell r="GN60">
            <v>0</v>
          </cell>
          <cell r="GO60">
            <v>59.307000000000002</v>
          </cell>
          <cell r="GP60">
            <v>59.307000000000002</v>
          </cell>
          <cell r="GQ60">
            <v>0</v>
          </cell>
          <cell r="GR60">
            <v>0</v>
          </cell>
          <cell r="GS60">
            <v>1</v>
          </cell>
          <cell r="GT60">
            <v>0</v>
          </cell>
          <cell r="GU60">
            <v>1</v>
          </cell>
          <cell r="GV60">
            <v>475.62674384858701</v>
          </cell>
          <cell r="GW60">
            <v>0</v>
          </cell>
          <cell r="GX60">
            <v>0</v>
          </cell>
          <cell r="GY60">
            <v>0</v>
          </cell>
          <cell r="GZ60">
            <v>53</v>
          </cell>
          <cell r="HA60">
            <v>53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39.196699641412465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6.3069999999999995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104.98333589000001</v>
          </cell>
          <cell r="IZ60">
            <v>0</v>
          </cell>
          <cell r="JA60">
            <v>0</v>
          </cell>
          <cell r="JB60">
            <v>0</v>
          </cell>
          <cell r="JC60">
            <v>4.1915000000000004</v>
          </cell>
          <cell r="JD60">
            <v>4.1915000000000004</v>
          </cell>
          <cell r="JE60">
            <v>0</v>
          </cell>
          <cell r="JF60">
            <v>0</v>
          </cell>
          <cell r="JG60">
            <v>3</v>
          </cell>
          <cell r="JH60">
            <v>0</v>
          </cell>
          <cell r="JI60">
            <v>3</v>
          </cell>
          <cell r="JJ60">
            <v>2.0477729099999999</v>
          </cell>
          <cell r="JK60">
            <v>0</v>
          </cell>
          <cell r="JL60">
            <v>0</v>
          </cell>
          <cell r="JM60">
            <v>0</v>
          </cell>
          <cell r="JN60">
            <v>0.73250000000000004</v>
          </cell>
          <cell r="JO60">
            <v>0.73250000000000004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102.93556298</v>
          </cell>
          <cell r="JV60">
            <v>0</v>
          </cell>
          <cell r="JW60">
            <v>0</v>
          </cell>
          <cell r="JX60">
            <v>0</v>
          </cell>
          <cell r="JY60">
            <v>3.4590000000000001</v>
          </cell>
          <cell r="JZ60">
            <v>3.4590000000000001</v>
          </cell>
          <cell r="KA60">
            <v>0</v>
          </cell>
          <cell r="KB60">
            <v>0</v>
          </cell>
          <cell r="KC60">
            <v>3</v>
          </cell>
          <cell r="KD60">
            <v>0</v>
          </cell>
          <cell r="KE60">
            <v>3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0</v>
          </cell>
          <cell r="OM60">
            <v>0</v>
          </cell>
          <cell r="ON60">
            <v>0</v>
          </cell>
          <cell r="OO60">
            <v>0</v>
          </cell>
          <cell r="OP60">
            <v>0</v>
          </cell>
          <cell r="OR60">
            <v>0</v>
          </cell>
          <cell r="OT60">
            <v>2031.6875938646697</v>
          </cell>
        </row>
        <row r="61">
          <cell r="A61" t="str">
            <v>Г</v>
          </cell>
          <cell r="B61" t="str">
            <v>1.2.3.1</v>
          </cell>
          <cell r="C61" t="str">
            <v>«Установка приборов учета, класс напряжения 0,22 (0,4) кВ, всего, в том числе:»</v>
          </cell>
          <cell r="D61" t="str">
            <v>Г</v>
          </cell>
          <cell r="E61">
            <v>0</v>
          </cell>
          <cell r="H61">
            <v>0</v>
          </cell>
          <cell r="J61">
            <v>852.29004287199996</v>
          </cell>
          <cell r="K61">
            <v>0</v>
          </cell>
          <cell r="L61">
            <v>852.29004287199996</v>
          </cell>
          <cell r="M61">
            <v>0</v>
          </cell>
          <cell r="N61">
            <v>0</v>
          </cell>
          <cell r="O61">
            <v>75.508838269152477</v>
          </cell>
          <cell r="P61">
            <v>178.17639041999999</v>
          </cell>
          <cell r="Q61">
            <v>598.60481432284746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3812.2178934788185</v>
          </cell>
          <cell r="CY61">
            <v>572.7289210797162</v>
          </cell>
          <cell r="CZ61">
            <v>1552.4358180467182</v>
          </cell>
          <cell r="DA61">
            <v>1396.6332410204841</v>
          </cell>
          <cell r="DB61">
            <v>351.73938608438334</v>
          </cell>
          <cell r="DE61">
            <v>0</v>
          </cell>
          <cell r="DG61">
            <v>606.57616354999993</v>
          </cell>
          <cell r="DH61">
            <v>0</v>
          </cell>
          <cell r="DI61">
            <v>606.57616354999993</v>
          </cell>
          <cell r="DJ61">
            <v>38.906113530000006</v>
          </cell>
          <cell r="DK61">
            <v>197.33895278</v>
          </cell>
          <cell r="DL61">
            <v>344.75768944999993</v>
          </cell>
          <cell r="DM61">
            <v>25.573407790000001</v>
          </cell>
          <cell r="DN61">
            <v>277.00832313952753</v>
          </cell>
          <cell r="DS61">
            <v>142.68802315457594</v>
          </cell>
          <cell r="DT61">
            <v>56.493174655273869</v>
          </cell>
          <cell r="DU61">
            <v>49.232590688265262</v>
          </cell>
          <cell r="DV61">
            <v>28.594534641412469</v>
          </cell>
          <cell r="DW61">
            <v>49.232590688265262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870.93788626000003</v>
          </cell>
          <cell r="ED61">
            <v>346.03663713000003</v>
          </cell>
          <cell r="EE61">
            <v>488.22764986999994</v>
          </cell>
          <cell r="EF61">
            <v>24.389055679999998</v>
          </cell>
          <cell r="EG61">
            <v>12.284543580000001</v>
          </cell>
          <cell r="EH61">
            <v>323.89559782000003</v>
          </cell>
          <cell r="EI61">
            <v>224.59279934</v>
          </cell>
          <cell r="EJ61">
            <v>95.952902250000008</v>
          </cell>
          <cell r="EK61">
            <v>0</v>
          </cell>
          <cell r="EL61">
            <v>3.3498962299999997</v>
          </cell>
          <cell r="EM61">
            <v>547.04228843999999</v>
          </cell>
          <cell r="EN61">
            <v>121.44383779</v>
          </cell>
          <cell r="EO61">
            <v>392.27474761999997</v>
          </cell>
          <cell r="EP61">
            <v>24.389055679999998</v>
          </cell>
          <cell r="EQ61">
            <v>8.9346473500000005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>
            <v>0</v>
          </cell>
          <cell r="FN61">
            <v>3102.5564480438834</v>
          </cell>
          <cell r="FO61">
            <v>0</v>
          </cell>
          <cell r="FP61">
            <v>175.58</v>
          </cell>
          <cell r="FQ61">
            <v>0</v>
          </cell>
          <cell r="FR61">
            <v>697.62100000000009</v>
          </cell>
          <cell r="FS61">
            <v>695.62100000000009</v>
          </cell>
          <cell r="FT61">
            <v>2</v>
          </cell>
          <cell r="FU61">
            <v>0</v>
          </cell>
          <cell r="FV61">
            <v>162</v>
          </cell>
          <cell r="FW61">
            <v>0</v>
          </cell>
          <cell r="FX61">
            <v>162</v>
          </cell>
          <cell r="FZ61">
            <v>604.26295830000004</v>
          </cell>
          <cell r="GA61">
            <v>0</v>
          </cell>
          <cell r="GB61">
            <v>10.842000000000002</v>
          </cell>
          <cell r="GC61">
            <v>0</v>
          </cell>
          <cell r="GD61">
            <v>18.175000000000001</v>
          </cell>
          <cell r="GE61">
            <v>18.175000000000001</v>
          </cell>
          <cell r="GF61">
            <v>0</v>
          </cell>
          <cell r="GG61">
            <v>0</v>
          </cell>
          <cell r="GH61">
            <v>112</v>
          </cell>
          <cell r="GI61">
            <v>0</v>
          </cell>
          <cell r="GJ61">
            <v>112</v>
          </cell>
          <cell r="GK61">
            <v>514.82344348999948</v>
          </cell>
          <cell r="GL61">
            <v>0</v>
          </cell>
          <cell r="GM61">
            <v>0</v>
          </cell>
          <cell r="GN61">
            <v>0</v>
          </cell>
          <cell r="GO61">
            <v>59.307000000000002</v>
          </cell>
          <cell r="GP61">
            <v>59.307000000000002</v>
          </cell>
          <cell r="GQ61">
            <v>0</v>
          </cell>
          <cell r="GR61">
            <v>0</v>
          </cell>
          <cell r="GS61">
            <v>1</v>
          </cell>
          <cell r="GT61">
            <v>0</v>
          </cell>
          <cell r="GU61">
            <v>1</v>
          </cell>
          <cell r="GV61">
            <v>475.62674384858701</v>
          </cell>
          <cell r="GW61">
            <v>0</v>
          </cell>
          <cell r="GX61">
            <v>0</v>
          </cell>
          <cell r="GY61">
            <v>0</v>
          </cell>
          <cell r="GZ61">
            <v>53</v>
          </cell>
          <cell r="HA61">
            <v>53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39.196699641412465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6.3069999999999995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104.98333589000001</v>
          </cell>
          <cell r="IZ61">
            <v>0</v>
          </cell>
          <cell r="JA61">
            <v>0</v>
          </cell>
          <cell r="JB61">
            <v>0</v>
          </cell>
          <cell r="JC61">
            <v>4.1915000000000004</v>
          </cell>
          <cell r="JD61">
            <v>4.1915000000000004</v>
          </cell>
          <cell r="JE61">
            <v>0</v>
          </cell>
          <cell r="JF61">
            <v>0</v>
          </cell>
          <cell r="JG61">
            <v>3</v>
          </cell>
          <cell r="JH61">
            <v>0</v>
          </cell>
          <cell r="JI61">
            <v>3</v>
          </cell>
          <cell r="JJ61">
            <v>2.0477729099999999</v>
          </cell>
          <cell r="JK61">
            <v>0</v>
          </cell>
          <cell r="JL61">
            <v>0</v>
          </cell>
          <cell r="JM61">
            <v>0</v>
          </cell>
          <cell r="JN61">
            <v>0.73250000000000004</v>
          </cell>
          <cell r="JO61">
            <v>0.73250000000000004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102.93556298</v>
          </cell>
          <cell r="JV61">
            <v>0</v>
          </cell>
          <cell r="JW61">
            <v>0</v>
          </cell>
          <cell r="JX61">
            <v>0</v>
          </cell>
          <cell r="JY61">
            <v>3.4590000000000001</v>
          </cell>
          <cell r="JZ61">
            <v>3.4590000000000001</v>
          </cell>
          <cell r="KA61">
            <v>0</v>
          </cell>
          <cell r="KB61">
            <v>0</v>
          </cell>
          <cell r="KC61">
            <v>3</v>
          </cell>
          <cell r="KD61">
            <v>0</v>
          </cell>
          <cell r="KE61">
            <v>3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0</v>
          </cell>
          <cell r="OM61">
            <v>0</v>
          </cell>
          <cell r="ON61">
            <v>0</v>
          </cell>
          <cell r="OO61">
            <v>0</v>
          </cell>
          <cell r="OP61">
            <v>0</v>
          </cell>
          <cell r="OR61">
            <v>0</v>
          </cell>
          <cell r="OT61">
            <v>2031.6875938646697</v>
          </cell>
        </row>
        <row r="62">
          <cell r="A62" t="str">
            <v>Г</v>
          </cell>
          <cell r="B62" t="str">
            <v>1.2.3.2</v>
          </cell>
          <cell r="C62" t="str">
            <v>«Установка приборов учета, класс напряжения 6 (10) кВ, всего, в том числе:»</v>
          </cell>
          <cell r="D62" t="str">
            <v>Г</v>
          </cell>
          <cell r="E62">
            <v>0</v>
          </cell>
          <cell r="H62">
            <v>0</v>
          </cell>
          <cell r="J62">
            <v>852.29004287199996</v>
          </cell>
          <cell r="K62">
            <v>0</v>
          </cell>
          <cell r="L62">
            <v>852.29004287199996</v>
          </cell>
          <cell r="M62">
            <v>0</v>
          </cell>
          <cell r="N62">
            <v>0</v>
          </cell>
          <cell r="O62">
            <v>75.508838269152477</v>
          </cell>
          <cell r="P62">
            <v>178.17639041999999</v>
          </cell>
          <cell r="Q62">
            <v>598.60481432284746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3812.2178934788185</v>
          </cell>
          <cell r="CY62">
            <v>572.7289210797162</v>
          </cell>
          <cell r="CZ62">
            <v>1552.4358180467182</v>
          </cell>
          <cell r="DA62">
            <v>1396.6332410204841</v>
          </cell>
          <cell r="DB62">
            <v>351.73938608438334</v>
          </cell>
          <cell r="DE62">
            <v>0</v>
          </cell>
          <cell r="DG62">
            <v>606.57616354999993</v>
          </cell>
          <cell r="DH62">
            <v>0</v>
          </cell>
          <cell r="DI62">
            <v>606.57616354999993</v>
          </cell>
          <cell r="DJ62">
            <v>38.906113530000006</v>
          </cell>
          <cell r="DK62">
            <v>197.33895278</v>
          </cell>
          <cell r="DL62">
            <v>344.75768944999993</v>
          </cell>
          <cell r="DM62">
            <v>25.573407790000001</v>
          </cell>
          <cell r="DN62">
            <v>277.00832313952753</v>
          </cell>
          <cell r="DS62">
            <v>142.68802315457594</v>
          </cell>
          <cell r="DT62">
            <v>56.493174655273869</v>
          </cell>
          <cell r="DU62">
            <v>49.232590688265262</v>
          </cell>
          <cell r="DV62">
            <v>28.594534641412469</v>
          </cell>
          <cell r="DW62">
            <v>49.232590688265262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870.93788626000003</v>
          </cell>
          <cell r="ED62">
            <v>346.03663713000003</v>
          </cell>
          <cell r="EE62">
            <v>488.22764986999994</v>
          </cell>
          <cell r="EF62">
            <v>24.389055679999998</v>
          </cell>
          <cell r="EG62">
            <v>12.284543580000001</v>
          </cell>
          <cell r="EH62">
            <v>323.89559782000003</v>
          </cell>
          <cell r="EI62">
            <v>224.59279934</v>
          </cell>
          <cell r="EJ62">
            <v>95.952902250000008</v>
          </cell>
          <cell r="EK62">
            <v>0</v>
          </cell>
          <cell r="EL62">
            <v>3.3498962299999997</v>
          </cell>
          <cell r="EM62">
            <v>547.04228843999999</v>
          </cell>
          <cell r="EN62">
            <v>121.44383779</v>
          </cell>
          <cell r="EO62">
            <v>392.27474761999997</v>
          </cell>
          <cell r="EP62">
            <v>24.389055679999998</v>
          </cell>
          <cell r="EQ62">
            <v>8.9346473500000005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3102.5564480438834</v>
          </cell>
          <cell r="FO62">
            <v>0</v>
          </cell>
          <cell r="FP62">
            <v>175.58</v>
          </cell>
          <cell r="FQ62">
            <v>0</v>
          </cell>
          <cell r="FR62">
            <v>697.62100000000009</v>
          </cell>
          <cell r="FS62">
            <v>695.62100000000009</v>
          </cell>
          <cell r="FT62">
            <v>2</v>
          </cell>
          <cell r="FU62">
            <v>0</v>
          </cell>
          <cell r="FV62">
            <v>162</v>
          </cell>
          <cell r="FW62">
            <v>0</v>
          </cell>
          <cell r="FX62">
            <v>162</v>
          </cell>
          <cell r="FZ62">
            <v>604.26295830000004</v>
          </cell>
          <cell r="GA62">
            <v>0</v>
          </cell>
          <cell r="GB62">
            <v>10.842000000000002</v>
          </cell>
          <cell r="GC62">
            <v>0</v>
          </cell>
          <cell r="GD62">
            <v>18.175000000000001</v>
          </cell>
          <cell r="GE62">
            <v>18.175000000000001</v>
          </cell>
          <cell r="GF62">
            <v>0</v>
          </cell>
          <cell r="GG62">
            <v>0</v>
          </cell>
          <cell r="GH62">
            <v>112</v>
          </cell>
          <cell r="GI62">
            <v>0</v>
          </cell>
          <cell r="GJ62">
            <v>112</v>
          </cell>
          <cell r="GK62">
            <v>514.82344348999948</v>
          </cell>
          <cell r="GL62">
            <v>0</v>
          </cell>
          <cell r="GM62">
            <v>0</v>
          </cell>
          <cell r="GN62">
            <v>0</v>
          </cell>
          <cell r="GO62">
            <v>59.307000000000002</v>
          </cell>
          <cell r="GP62">
            <v>59.307000000000002</v>
          </cell>
          <cell r="GQ62">
            <v>0</v>
          </cell>
          <cell r="GR62">
            <v>0</v>
          </cell>
          <cell r="GS62">
            <v>1</v>
          </cell>
          <cell r="GT62">
            <v>0</v>
          </cell>
          <cell r="GU62">
            <v>1</v>
          </cell>
          <cell r="GV62">
            <v>475.62674384858701</v>
          </cell>
          <cell r="GW62">
            <v>0</v>
          </cell>
          <cell r="GX62">
            <v>0</v>
          </cell>
          <cell r="GY62">
            <v>0</v>
          </cell>
          <cell r="GZ62">
            <v>53</v>
          </cell>
          <cell r="HA62">
            <v>53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39.196699641412465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6.3069999999999995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104.98333589000001</v>
          </cell>
          <cell r="IZ62">
            <v>0</v>
          </cell>
          <cell r="JA62">
            <v>0</v>
          </cell>
          <cell r="JB62">
            <v>0</v>
          </cell>
          <cell r="JC62">
            <v>4.1915000000000004</v>
          </cell>
          <cell r="JD62">
            <v>4.1915000000000004</v>
          </cell>
          <cell r="JE62">
            <v>0</v>
          </cell>
          <cell r="JF62">
            <v>0</v>
          </cell>
          <cell r="JG62">
            <v>3</v>
          </cell>
          <cell r="JH62">
            <v>0</v>
          </cell>
          <cell r="JI62">
            <v>3</v>
          </cell>
          <cell r="JJ62">
            <v>2.0477729099999999</v>
          </cell>
          <cell r="JK62">
            <v>0</v>
          </cell>
          <cell r="JL62">
            <v>0</v>
          </cell>
          <cell r="JM62">
            <v>0</v>
          </cell>
          <cell r="JN62">
            <v>0.73250000000000004</v>
          </cell>
          <cell r="JO62">
            <v>0.73250000000000004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102.93556298</v>
          </cell>
          <cell r="JV62">
            <v>0</v>
          </cell>
          <cell r="JW62">
            <v>0</v>
          </cell>
          <cell r="JX62">
            <v>0</v>
          </cell>
          <cell r="JY62">
            <v>3.4590000000000001</v>
          </cell>
          <cell r="JZ62">
            <v>3.4590000000000001</v>
          </cell>
          <cell r="KA62">
            <v>0</v>
          </cell>
          <cell r="KB62">
            <v>0</v>
          </cell>
          <cell r="KC62">
            <v>3</v>
          </cell>
          <cell r="KD62">
            <v>0</v>
          </cell>
          <cell r="KE62">
            <v>3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R62">
            <v>0</v>
          </cell>
          <cell r="OT62">
            <v>2031.6875938646697</v>
          </cell>
        </row>
        <row r="63">
          <cell r="A63" t="str">
            <v>Г</v>
          </cell>
          <cell r="B63" t="str">
            <v>1.2.3.3</v>
          </cell>
          <cell r="C63" t="str">
            <v>«Установка приборов учета, класс напряжения 35 кВ, всего, в том числе:»</v>
          </cell>
          <cell r="D63" t="str">
            <v>Г</v>
          </cell>
          <cell r="E63">
            <v>0</v>
          </cell>
          <cell r="H63">
            <v>0</v>
          </cell>
          <cell r="J63">
            <v>852.29004287199996</v>
          </cell>
          <cell r="K63">
            <v>0</v>
          </cell>
          <cell r="L63">
            <v>852.29004287199996</v>
          </cell>
          <cell r="M63">
            <v>0</v>
          </cell>
          <cell r="N63">
            <v>0</v>
          </cell>
          <cell r="O63">
            <v>75.508838269152477</v>
          </cell>
          <cell r="P63">
            <v>178.17639041999999</v>
          </cell>
          <cell r="Q63">
            <v>598.60481432284746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3812.2178934788185</v>
          </cell>
          <cell r="CY63">
            <v>572.7289210797162</v>
          </cell>
          <cell r="CZ63">
            <v>1552.4358180467182</v>
          </cell>
          <cell r="DA63">
            <v>1396.6332410204841</v>
          </cell>
          <cell r="DB63">
            <v>351.73938608438334</v>
          </cell>
          <cell r="DE63">
            <v>0</v>
          </cell>
          <cell r="DG63">
            <v>606.57616354999993</v>
          </cell>
          <cell r="DH63">
            <v>0</v>
          </cell>
          <cell r="DI63">
            <v>606.57616354999993</v>
          </cell>
          <cell r="DJ63">
            <v>38.906113530000006</v>
          </cell>
          <cell r="DK63">
            <v>197.33895278</v>
          </cell>
          <cell r="DL63">
            <v>344.75768944999993</v>
          </cell>
          <cell r="DM63">
            <v>25.573407790000001</v>
          </cell>
          <cell r="DN63">
            <v>277.00832313952753</v>
          </cell>
          <cell r="DS63">
            <v>142.68802315457594</v>
          </cell>
          <cell r="DT63">
            <v>56.493174655273869</v>
          </cell>
          <cell r="DU63">
            <v>49.232590688265262</v>
          </cell>
          <cell r="DV63">
            <v>28.594534641412469</v>
          </cell>
          <cell r="DW63">
            <v>49.232590688265262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870.93788626000003</v>
          </cell>
          <cell r="ED63">
            <v>346.03663713000003</v>
          </cell>
          <cell r="EE63">
            <v>488.22764986999994</v>
          </cell>
          <cell r="EF63">
            <v>24.389055679999998</v>
          </cell>
          <cell r="EG63">
            <v>12.284543580000001</v>
          </cell>
          <cell r="EH63">
            <v>323.89559782000003</v>
          </cell>
          <cell r="EI63">
            <v>224.59279934</v>
          </cell>
          <cell r="EJ63">
            <v>95.952902250000008</v>
          </cell>
          <cell r="EK63">
            <v>0</v>
          </cell>
          <cell r="EL63">
            <v>3.3498962299999997</v>
          </cell>
          <cell r="EM63">
            <v>547.04228843999999</v>
          </cell>
          <cell r="EN63">
            <v>121.44383779</v>
          </cell>
          <cell r="EO63">
            <v>392.27474761999997</v>
          </cell>
          <cell r="EP63">
            <v>24.389055679999998</v>
          </cell>
          <cell r="EQ63">
            <v>8.9346473500000005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3102.5564480438834</v>
          </cell>
          <cell r="FO63">
            <v>0</v>
          </cell>
          <cell r="FP63">
            <v>175.58</v>
          </cell>
          <cell r="FQ63">
            <v>0</v>
          </cell>
          <cell r="FR63">
            <v>697.62100000000009</v>
          </cell>
          <cell r="FS63">
            <v>695.62100000000009</v>
          </cell>
          <cell r="FT63">
            <v>2</v>
          </cell>
          <cell r="FU63">
            <v>0</v>
          </cell>
          <cell r="FV63">
            <v>162</v>
          </cell>
          <cell r="FW63">
            <v>0</v>
          </cell>
          <cell r="FX63">
            <v>162</v>
          </cell>
          <cell r="FZ63">
            <v>604.26295830000004</v>
          </cell>
          <cell r="GA63">
            <v>0</v>
          </cell>
          <cell r="GB63">
            <v>10.842000000000002</v>
          </cell>
          <cell r="GC63">
            <v>0</v>
          </cell>
          <cell r="GD63">
            <v>18.175000000000001</v>
          </cell>
          <cell r="GE63">
            <v>18.175000000000001</v>
          </cell>
          <cell r="GF63">
            <v>0</v>
          </cell>
          <cell r="GG63">
            <v>0</v>
          </cell>
          <cell r="GH63">
            <v>112</v>
          </cell>
          <cell r="GI63">
            <v>0</v>
          </cell>
          <cell r="GJ63">
            <v>112</v>
          </cell>
          <cell r="GK63">
            <v>514.82344348999948</v>
          </cell>
          <cell r="GL63">
            <v>0</v>
          </cell>
          <cell r="GM63">
            <v>0</v>
          </cell>
          <cell r="GN63">
            <v>0</v>
          </cell>
          <cell r="GO63">
            <v>59.307000000000002</v>
          </cell>
          <cell r="GP63">
            <v>59.307000000000002</v>
          </cell>
          <cell r="GQ63">
            <v>0</v>
          </cell>
          <cell r="GR63">
            <v>0</v>
          </cell>
          <cell r="GS63">
            <v>1</v>
          </cell>
          <cell r="GT63">
            <v>0</v>
          </cell>
          <cell r="GU63">
            <v>1</v>
          </cell>
          <cell r="GV63">
            <v>475.62674384858701</v>
          </cell>
          <cell r="GW63">
            <v>0</v>
          </cell>
          <cell r="GX63">
            <v>0</v>
          </cell>
          <cell r="GY63">
            <v>0</v>
          </cell>
          <cell r="GZ63">
            <v>53</v>
          </cell>
          <cell r="HA63">
            <v>53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39.196699641412465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6.3069999999999995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104.98333589000001</v>
          </cell>
          <cell r="IZ63">
            <v>0</v>
          </cell>
          <cell r="JA63">
            <v>0</v>
          </cell>
          <cell r="JB63">
            <v>0</v>
          </cell>
          <cell r="JC63">
            <v>4.1915000000000004</v>
          </cell>
          <cell r="JD63">
            <v>4.1915000000000004</v>
          </cell>
          <cell r="JE63">
            <v>0</v>
          </cell>
          <cell r="JF63">
            <v>0</v>
          </cell>
          <cell r="JG63">
            <v>3</v>
          </cell>
          <cell r="JH63">
            <v>0</v>
          </cell>
          <cell r="JI63">
            <v>3</v>
          </cell>
          <cell r="JJ63">
            <v>2.0477729099999999</v>
          </cell>
          <cell r="JK63">
            <v>0</v>
          </cell>
          <cell r="JL63">
            <v>0</v>
          </cell>
          <cell r="JM63">
            <v>0</v>
          </cell>
          <cell r="JN63">
            <v>0.73250000000000004</v>
          </cell>
          <cell r="JO63">
            <v>0.73250000000000004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102.93556298</v>
          </cell>
          <cell r="JV63">
            <v>0</v>
          </cell>
          <cell r="JW63">
            <v>0</v>
          </cell>
          <cell r="JX63">
            <v>0</v>
          </cell>
          <cell r="JY63">
            <v>3.4590000000000001</v>
          </cell>
          <cell r="JZ63">
            <v>3.4590000000000001</v>
          </cell>
          <cell r="KA63">
            <v>0</v>
          </cell>
          <cell r="KB63">
            <v>0</v>
          </cell>
          <cell r="KC63">
            <v>3</v>
          </cell>
          <cell r="KD63">
            <v>0</v>
          </cell>
          <cell r="KE63">
            <v>3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0</v>
          </cell>
          <cell r="OR63">
            <v>0</v>
          </cell>
          <cell r="OT63">
            <v>2031.6875938646697</v>
          </cell>
        </row>
        <row r="64">
          <cell r="A64" t="str">
            <v>Г</v>
          </cell>
          <cell r="B64" t="str">
            <v>1.2.3.4</v>
          </cell>
          <cell r="C64" t="str">
            <v>«Установка приборов учета, класс напряжения 110 кВ и выше, всего, в том числе:»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870.93788626000003</v>
          </cell>
          <cell r="ED64">
            <v>346.03663713000003</v>
          </cell>
          <cell r="EE64">
            <v>488.22764986999994</v>
          </cell>
          <cell r="EF64">
            <v>24.389055679999998</v>
          </cell>
          <cell r="EG64">
            <v>12.284543580000001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104.98333589000001</v>
          </cell>
          <cell r="IZ64">
            <v>0</v>
          </cell>
          <cell r="JA64">
            <v>0</v>
          </cell>
          <cell r="JB64">
            <v>0</v>
          </cell>
          <cell r="JC64">
            <v>4.1915000000000004</v>
          </cell>
          <cell r="JD64">
            <v>4.1915000000000004</v>
          </cell>
          <cell r="JE64">
            <v>0</v>
          </cell>
          <cell r="JF64">
            <v>0</v>
          </cell>
          <cell r="JG64">
            <v>3</v>
          </cell>
          <cell r="JH64">
            <v>0</v>
          </cell>
          <cell r="JI64">
            <v>3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2031.6875938646697</v>
          </cell>
        </row>
        <row r="65">
          <cell r="A65" t="str">
            <v>Г</v>
          </cell>
          <cell r="B65" t="str">
            <v>1.2.3.5</v>
          </cell>
          <cell r="C65" t="str">
            <v>«Включение приборов учета в систему сбора и передачи данных, класс напряжения 0,22 (0,4) кВ, всего, в том числе:»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870.93788626000003</v>
          </cell>
          <cell r="ED65">
            <v>346.03663713000003</v>
          </cell>
          <cell r="EE65">
            <v>488.22764986999994</v>
          </cell>
          <cell r="EF65">
            <v>24.389055679999998</v>
          </cell>
          <cell r="EG65">
            <v>12.284543580000001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104.98333589000001</v>
          </cell>
          <cell r="IZ65">
            <v>0</v>
          </cell>
          <cell r="JA65">
            <v>0</v>
          </cell>
          <cell r="JB65">
            <v>0</v>
          </cell>
          <cell r="JC65">
            <v>4.1915000000000004</v>
          </cell>
          <cell r="JD65">
            <v>4.1915000000000004</v>
          </cell>
          <cell r="JE65">
            <v>0</v>
          </cell>
          <cell r="JF65">
            <v>0</v>
          </cell>
          <cell r="JG65">
            <v>3</v>
          </cell>
          <cell r="JH65">
            <v>0</v>
          </cell>
          <cell r="JI65">
            <v>3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2031.6875938646697</v>
          </cell>
        </row>
        <row r="66">
          <cell r="A66" t="str">
            <v>Г</v>
          </cell>
          <cell r="B66" t="str">
            <v>1.2.3.6</v>
          </cell>
          <cell r="C66" t="str">
            <v>«Включение приборов учета в систему сбора и передачи данных, класс напряжения 6 (10) кВ, всего, в том числе:»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870.93788626000003</v>
          </cell>
          <cell r="ED66">
            <v>346.03663713000003</v>
          </cell>
          <cell r="EE66">
            <v>488.22764986999994</v>
          </cell>
          <cell r="EF66">
            <v>24.389055679999998</v>
          </cell>
          <cell r="EG66">
            <v>12.284543580000001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104.98333589000001</v>
          </cell>
          <cell r="IZ66">
            <v>0</v>
          </cell>
          <cell r="JA66">
            <v>0</v>
          </cell>
          <cell r="JB66">
            <v>0</v>
          </cell>
          <cell r="JC66">
            <v>4.1915000000000004</v>
          </cell>
          <cell r="JD66">
            <v>4.1915000000000004</v>
          </cell>
          <cell r="JE66">
            <v>0</v>
          </cell>
          <cell r="JF66">
            <v>0</v>
          </cell>
          <cell r="JG66">
            <v>3</v>
          </cell>
          <cell r="JH66">
            <v>0</v>
          </cell>
          <cell r="JI66">
            <v>3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2031.6875938646697</v>
          </cell>
        </row>
        <row r="67">
          <cell r="A67" t="str">
            <v>Г</v>
          </cell>
          <cell r="B67" t="str">
            <v>1.2.3.7</v>
          </cell>
          <cell r="C67" t="str">
            <v>«Включение приборов учета в систему сбора и передачи данных, класс напряжения 35 кВ, всего, в том числе:»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870.93788626000003</v>
          </cell>
          <cell r="ED67">
            <v>346.03663713000003</v>
          </cell>
          <cell r="EE67">
            <v>488.22764986999994</v>
          </cell>
          <cell r="EF67">
            <v>24.389055679999998</v>
          </cell>
          <cell r="EG67">
            <v>12.284543580000001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104.98333589000001</v>
          </cell>
          <cell r="IZ67">
            <v>0</v>
          </cell>
          <cell r="JA67">
            <v>0</v>
          </cell>
          <cell r="JB67">
            <v>0</v>
          </cell>
          <cell r="JC67">
            <v>4.1915000000000004</v>
          </cell>
          <cell r="JD67">
            <v>4.1915000000000004</v>
          </cell>
          <cell r="JE67">
            <v>0</v>
          </cell>
          <cell r="JF67">
            <v>0</v>
          </cell>
          <cell r="JG67">
            <v>3</v>
          </cell>
          <cell r="JH67">
            <v>0</v>
          </cell>
          <cell r="JI67">
            <v>3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2031.6875938646697</v>
          </cell>
        </row>
        <row r="68">
          <cell r="A68" t="str">
            <v>Г</v>
          </cell>
          <cell r="B68" t="str">
            <v>1.2.3.8</v>
          </cell>
          <cell r="C68" t="str">
            <v>«Включение приборов учета в систему сбора и передачи данных, класс напряжения 110 кВ и выше,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870.93788626000003</v>
          </cell>
          <cell r="ED68">
            <v>346.03663713000003</v>
          </cell>
          <cell r="EE68">
            <v>488.22764986999994</v>
          </cell>
          <cell r="EF68">
            <v>24.389055679999998</v>
          </cell>
          <cell r="EG68">
            <v>12.284543580000001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104.98333589000001</v>
          </cell>
          <cell r="IZ68">
            <v>0</v>
          </cell>
          <cell r="JA68">
            <v>0</v>
          </cell>
          <cell r="JB68">
            <v>0</v>
          </cell>
          <cell r="JC68">
            <v>4.1915000000000004</v>
          </cell>
          <cell r="JD68">
            <v>4.1915000000000004</v>
          </cell>
          <cell r="JE68">
            <v>0</v>
          </cell>
          <cell r="JF68">
            <v>0</v>
          </cell>
          <cell r="JG68">
            <v>3</v>
          </cell>
          <cell r="JH68">
            <v>0</v>
          </cell>
          <cell r="JI68">
            <v>3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2031.6875938646697</v>
          </cell>
        </row>
        <row r="69">
          <cell r="A69" t="str">
            <v>Г</v>
          </cell>
          <cell r="B69" t="str">
            <v>1.2.4</v>
          </cell>
          <cell r="C69" t="str">
            <v>Реконструкция, модернизация, техническое перевооружение прочих объектов основных средств, всего, в том числе:</v>
          </cell>
          <cell r="D69" t="str">
            <v>Г</v>
          </cell>
          <cell r="E69">
            <v>11.799999999999999</v>
          </cell>
          <cell r="H69">
            <v>0</v>
          </cell>
          <cell r="J69">
            <v>864.09004287199991</v>
          </cell>
          <cell r="K69">
            <v>11.799999999999999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11.8</v>
          </cell>
          <cell r="S69">
            <v>0</v>
          </cell>
          <cell r="T69">
            <v>0</v>
          </cell>
          <cell r="U69">
            <v>10</v>
          </cell>
          <cell r="V69">
            <v>0</v>
          </cell>
          <cell r="W69">
            <v>1.8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11.8</v>
          </cell>
          <cell r="AQ69">
            <v>0</v>
          </cell>
          <cell r="AR69">
            <v>0</v>
          </cell>
          <cell r="AS69">
            <v>10</v>
          </cell>
          <cell r="AT69">
            <v>0</v>
          </cell>
          <cell r="AU69">
            <v>1.8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>
            <v>4</v>
          </cell>
          <cell r="BF69" t="str">
            <v>4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616.57616354999993</v>
          </cell>
          <cell r="DH69">
            <v>10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870.93788626000003</v>
          </cell>
          <cell r="ED69">
            <v>346.03663713000003</v>
          </cell>
          <cell r="EE69">
            <v>488.22764986999994</v>
          </cell>
          <cell r="EF69">
            <v>24.389055679999998</v>
          </cell>
          <cell r="EG69">
            <v>12.284543580000001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>
            <v>2</v>
          </cell>
          <cell r="FI69" t="str">
            <v/>
          </cell>
          <cell r="FJ69" t="str">
            <v/>
          </cell>
          <cell r="FK69" t="str">
            <v>2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104.98333589000001</v>
          </cell>
          <cell r="IZ69">
            <v>0</v>
          </cell>
          <cell r="JA69">
            <v>0</v>
          </cell>
          <cell r="JB69">
            <v>0</v>
          </cell>
          <cell r="JC69">
            <v>4.1915000000000004</v>
          </cell>
          <cell r="JD69">
            <v>4.1915000000000004</v>
          </cell>
          <cell r="JE69">
            <v>0</v>
          </cell>
          <cell r="JF69">
            <v>0</v>
          </cell>
          <cell r="JG69">
            <v>3</v>
          </cell>
          <cell r="JH69">
            <v>0</v>
          </cell>
          <cell r="JI69">
            <v>3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2031.6875938646697</v>
          </cell>
        </row>
        <row r="70">
          <cell r="A70" t="str">
            <v>Г</v>
          </cell>
          <cell r="B70" t="str">
            <v>1.2.4.1</v>
          </cell>
          <cell r="C70" t="str">
            <v>Реконструкция прочих объектов основных средств, всего, в том числе: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870.93788626000003</v>
          </cell>
          <cell r="ED70">
            <v>346.03663713000003</v>
          </cell>
          <cell r="EE70">
            <v>488.22764986999994</v>
          </cell>
          <cell r="EF70">
            <v>24.389055679999998</v>
          </cell>
          <cell r="EG70">
            <v>12.284543580000001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104.98333589000001</v>
          </cell>
          <cell r="IZ70">
            <v>0</v>
          </cell>
          <cell r="JA70">
            <v>0</v>
          </cell>
          <cell r="JB70">
            <v>0</v>
          </cell>
          <cell r="JC70">
            <v>4.1915000000000004</v>
          </cell>
          <cell r="JD70">
            <v>4.1915000000000004</v>
          </cell>
          <cell r="JE70">
            <v>0</v>
          </cell>
          <cell r="JF70">
            <v>0</v>
          </cell>
          <cell r="JG70">
            <v>3</v>
          </cell>
          <cell r="JH70">
            <v>0</v>
          </cell>
          <cell r="JI70">
            <v>3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2031.6875938646697</v>
          </cell>
        </row>
        <row r="71">
          <cell r="A71" t="str">
            <v>Г</v>
          </cell>
          <cell r="B71" t="str">
            <v>1.2.4.2</v>
          </cell>
          <cell r="C71" t="str">
            <v>Модернизация, техническое перевооружение прочих объектов основных средств, всего, в том числе:</v>
          </cell>
          <cell r="D71" t="str">
            <v>Г</v>
          </cell>
          <cell r="E71">
            <v>11.799999999999999</v>
          </cell>
          <cell r="H71">
            <v>0</v>
          </cell>
          <cell r="J71">
            <v>864.09004287199991</v>
          </cell>
          <cell r="K71">
            <v>11.799999999999999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11.8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1.8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11.8</v>
          </cell>
          <cell r="AQ71">
            <v>0</v>
          </cell>
          <cell r="AR71">
            <v>0</v>
          </cell>
          <cell r="AS71">
            <v>10</v>
          </cell>
          <cell r="AT71">
            <v>0</v>
          </cell>
          <cell r="AU71">
            <v>1.8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>
            <v>4</v>
          </cell>
          <cell r="BF71" t="str">
            <v>4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616.57616354999993</v>
          </cell>
          <cell r="DH71">
            <v>10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870.93788626000003</v>
          </cell>
          <cell r="ED71">
            <v>346.03663713000003</v>
          </cell>
          <cell r="EE71">
            <v>488.22764986999994</v>
          </cell>
          <cell r="EF71">
            <v>24.389055679999998</v>
          </cell>
          <cell r="EG71">
            <v>12.284543580000001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>
            <v>2</v>
          </cell>
          <cell r="FI71" t="str">
            <v/>
          </cell>
          <cell r="FJ71" t="str">
            <v/>
          </cell>
          <cell r="FK71" t="str">
            <v>2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104.98333589000001</v>
          </cell>
          <cell r="IZ71">
            <v>0</v>
          </cell>
          <cell r="JA71">
            <v>0</v>
          </cell>
          <cell r="JB71">
            <v>0</v>
          </cell>
          <cell r="JC71">
            <v>4.1915000000000004</v>
          </cell>
          <cell r="JD71">
            <v>4.1915000000000004</v>
          </cell>
          <cell r="JE71">
            <v>0</v>
          </cell>
          <cell r="JF71">
            <v>0</v>
          </cell>
          <cell r="JG71">
            <v>3</v>
          </cell>
          <cell r="JH71">
            <v>0</v>
          </cell>
          <cell r="JI71">
            <v>3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2031.6875938646697</v>
          </cell>
        </row>
        <row r="72">
          <cell r="A72" t="str">
            <v>F_prj_109108_49014</v>
          </cell>
          <cell r="B72" t="str">
            <v>1.2.4.2</v>
          </cell>
          <cell r="C72" t="str">
            <v>Модернизация системы сбора и передачи информации 1-ая очередь АО "Чеченэнерго" на  ПС"№84"</v>
          </cell>
          <cell r="D72" t="str">
            <v>F_prj_109108_49014</v>
          </cell>
          <cell r="E72">
            <v>11.799999999999999</v>
          </cell>
          <cell r="H72">
            <v>0</v>
          </cell>
          <cell r="J72">
            <v>11.799999999999999</v>
          </cell>
          <cell r="K72">
            <v>11.799999999999999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11.8</v>
          </cell>
          <cell r="S72">
            <v>0</v>
          </cell>
          <cell r="T72">
            <v>0</v>
          </cell>
          <cell r="U72">
            <v>10</v>
          </cell>
          <cell r="V72">
            <v>0</v>
          </cell>
          <cell r="W72">
            <v>1.8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11.8</v>
          </cell>
          <cell r="AQ72">
            <v>0</v>
          </cell>
          <cell r="AR72">
            <v>0</v>
          </cell>
          <cell r="AS72">
            <v>10</v>
          </cell>
          <cell r="AT72">
            <v>0</v>
          </cell>
          <cell r="AU72">
            <v>1.8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>
            <v>4</v>
          </cell>
          <cell r="BF72" t="str">
            <v>4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10</v>
          </cell>
          <cell r="CY72">
            <v>0.6</v>
          </cell>
          <cell r="CZ72">
            <v>5</v>
          </cell>
          <cell r="DA72">
            <v>3</v>
          </cell>
          <cell r="DB72">
            <v>1.4000000000000001</v>
          </cell>
          <cell r="DE72">
            <v>0</v>
          </cell>
          <cell r="DG72">
            <v>10</v>
          </cell>
          <cell r="DH72">
            <v>10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10</v>
          </cell>
          <cell r="DS72">
            <v>0</v>
          </cell>
          <cell r="DT72">
            <v>0</v>
          </cell>
          <cell r="DU72">
            <v>10</v>
          </cell>
          <cell r="DV72">
            <v>0</v>
          </cell>
          <cell r="DW72">
            <v>10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>
            <v>2</v>
          </cell>
          <cell r="FI72" t="str">
            <v/>
          </cell>
          <cell r="FJ72" t="str">
            <v/>
          </cell>
          <cell r="FK72" t="str">
            <v>2</v>
          </cell>
          <cell r="FN72">
            <v>10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</v>
          </cell>
          <cell r="FW72">
            <v>0</v>
          </cell>
          <cell r="FX72">
            <v>1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10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10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2019</v>
          </cell>
          <cell r="ON72">
            <v>2019</v>
          </cell>
          <cell r="OO72">
            <v>2019</v>
          </cell>
          <cell r="OP72" t="str">
            <v>п</v>
          </cell>
          <cell r="OR72">
            <v>0</v>
          </cell>
          <cell r="OT72">
            <v>11.799999999999999</v>
          </cell>
        </row>
        <row r="73">
          <cell r="A73" t="str">
            <v>Г</v>
          </cell>
          <cell r="B73" t="str">
            <v>1.3</v>
          </cell>
          <cell r="C7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870.93788626000003</v>
          </cell>
          <cell r="ED73">
            <v>346.03663713000003</v>
          </cell>
          <cell r="EE73">
            <v>488.22764986999994</v>
          </cell>
          <cell r="EF73">
            <v>24.389055679999998</v>
          </cell>
          <cell r="EG73">
            <v>12.284543580000001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104.98333589000001</v>
          </cell>
          <cell r="IZ73">
            <v>0</v>
          </cell>
          <cell r="JA73">
            <v>0</v>
          </cell>
          <cell r="JB73">
            <v>0</v>
          </cell>
          <cell r="JC73">
            <v>4.1915000000000004</v>
          </cell>
          <cell r="JD73">
            <v>4.1915000000000004</v>
          </cell>
          <cell r="JE73">
            <v>0</v>
          </cell>
          <cell r="JF73">
            <v>0</v>
          </cell>
          <cell r="JG73">
            <v>3</v>
          </cell>
          <cell r="JH73">
            <v>0</v>
          </cell>
          <cell r="JI73">
            <v>3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2031.6875938646697</v>
          </cell>
        </row>
        <row r="74">
          <cell r="A74" t="str">
            <v>Г</v>
          </cell>
          <cell r="B74" t="str">
            <v>1.3.1</v>
          </cell>
          <cell r="C7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870.93788626000003</v>
          </cell>
          <cell r="ED74">
            <v>346.03663713000003</v>
          </cell>
          <cell r="EE74">
            <v>488.22764986999994</v>
          </cell>
          <cell r="EF74">
            <v>24.389055679999998</v>
          </cell>
          <cell r="EG74">
            <v>12.284543580000001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104.98333589000001</v>
          </cell>
          <cell r="IZ74">
            <v>0</v>
          </cell>
          <cell r="JA74">
            <v>0</v>
          </cell>
          <cell r="JB74">
            <v>0</v>
          </cell>
          <cell r="JC74">
            <v>4.1915000000000004</v>
          </cell>
          <cell r="JD74">
            <v>4.1915000000000004</v>
          </cell>
          <cell r="JE74">
            <v>0</v>
          </cell>
          <cell r="JF74">
            <v>0</v>
          </cell>
          <cell r="JG74">
            <v>3</v>
          </cell>
          <cell r="JH74">
            <v>0</v>
          </cell>
          <cell r="JI74">
            <v>3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2031.6875938646697</v>
          </cell>
        </row>
        <row r="75">
          <cell r="A75" t="str">
            <v>Г</v>
          </cell>
          <cell r="B75" t="str">
            <v>1.3.2</v>
          </cell>
          <cell r="C7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870.93788626000003</v>
          </cell>
          <cell r="ED75">
            <v>346.03663713000003</v>
          </cell>
          <cell r="EE75">
            <v>488.22764986999994</v>
          </cell>
          <cell r="EF75">
            <v>24.389055679999998</v>
          </cell>
          <cell r="EG75">
            <v>12.284543580000001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104.98333589000001</v>
          </cell>
          <cell r="IZ75">
            <v>0</v>
          </cell>
          <cell r="JA75">
            <v>0</v>
          </cell>
          <cell r="JB75">
            <v>0</v>
          </cell>
          <cell r="JC75">
            <v>4.1915000000000004</v>
          </cell>
          <cell r="JD75">
            <v>4.1915000000000004</v>
          </cell>
          <cell r="JE75">
            <v>0</v>
          </cell>
          <cell r="JF75">
            <v>0</v>
          </cell>
          <cell r="JG75">
            <v>3</v>
          </cell>
          <cell r="JH75">
            <v>0</v>
          </cell>
          <cell r="JI75">
            <v>3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2031.6875938646697</v>
          </cell>
        </row>
        <row r="76">
          <cell r="A76" t="str">
            <v>Г</v>
          </cell>
          <cell r="B76" t="str">
            <v>1.4</v>
          </cell>
          <cell r="C76" t="str">
            <v>Прочее новое строительство объектов электросетевого хозяйства,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852.29004287199996</v>
          </cell>
          <cell r="K76">
            <v>0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606.57616354999993</v>
          </cell>
          <cell r="DH76">
            <v>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870.93788626000003</v>
          </cell>
          <cell r="ED76">
            <v>346.03663713000003</v>
          </cell>
          <cell r="EE76">
            <v>488.22764986999994</v>
          </cell>
          <cell r="EF76">
            <v>24.389055679999998</v>
          </cell>
          <cell r="EG76">
            <v>12.284543580000001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104.98333589000001</v>
          </cell>
          <cell r="IZ76">
            <v>0</v>
          </cell>
          <cell r="JA76">
            <v>0</v>
          </cell>
          <cell r="JB76">
            <v>0</v>
          </cell>
          <cell r="JC76">
            <v>4.1915000000000004</v>
          </cell>
          <cell r="JD76">
            <v>4.1915000000000004</v>
          </cell>
          <cell r="JE76">
            <v>0</v>
          </cell>
          <cell r="JF76">
            <v>0</v>
          </cell>
          <cell r="JG76">
            <v>3</v>
          </cell>
          <cell r="JH76">
            <v>0</v>
          </cell>
          <cell r="JI76">
            <v>3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2031.6875938646697</v>
          </cell>
        </row>
        <row r="77">
          <cell r="A77" t="str">
            <v>Г</v>
          </cell>
          <cell r="B77" t="str">
            <v>1.5</v>
          </cell>
          <cell r="C77" t="str">
            <v>Покупка земельных участков для целей реализации инвестиционных проектов,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870.93788626000003</v>
          </cell>
          <cell r="ED77">
            <v>346.03663713000003</v>
          </cell>
          <cell r="EE77">
            <v>488.22764986999994</v>
          </cell>
          <cell r="EF77">
            <v>24.389055679999998</v>
          </cell>
          <cell r="EG77">
            <v>12.284543580000001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104.98333589000001</v>
          </cell>
          <cell r="IZ77">
            <v>0</v>
          </cell>
          <cell r="JA77">
            <v>0</v>
          </cell>
          <cell r="JB77">
            <v>0</v>
          </cell>
          <cell r="JC77">
            <v>4.1915000000000004</v>
          </cell>
          <cell r="JD77">
            <v>4.1915000000000004</v>
          </cell>
          <cell r="JE77">
            <v>0</v>
          </cell>
          <cell r="JF77">
            <v>0</v>
          </cell>
          <cell r="JG77">
            <v>3</v>
          </cell>
          <cell r="JH77">
            <v>0</v>
          </cell>
          <cell r="JI77">
            <v>3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2031.6875938646697</v>
          </cell>
        </row>
        <row r="78">
          <cell r="A78" t="str">
            <v>Г</v>
          </cell>
          <cell r="B78" t="str">
            <v>1.6</v>
          </cell>
          <cell r="C78" t="str">
            <v>Прочие инвестиционные проекты, всего, в том числе:</v>
          </cell>
          <cell r="D78" t="str">
            <v>Г</v>
          </cell>
          <cell r="E78">
            <v>919.02739851642309</v>
          </cell>
          <cell r="H78">
            <v>681.33265381399997</v>
          </cell>
          <cell r="J78">
            <v>1448.0801169724232</v>
          </cell>
          <cell r="K78">
            <v>595.79007410042311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66.661946093223165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66.661946093223165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66.661946093223165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66.661946093223165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>
            <v>2</v>
          </cell>
          <cell r="BD78" t="str">
            <v/>
          </cell>
          <cell r="BE78" t="str">
            <v/>
          </cell>
          <cell r="BF78" t="str">
            <v>2</v>
          </cell>
          <cell r="BG78">
            <v>358.09532939000002</v>
          </cell>
          <cell r="BH78">
            <v>0</v>
          </cell>
          <cell r="BI78">
            <v>0</v>
          </cell>
          <cell r="BJ78">
            <v>101.84024169333334</v>
          </cell>
          <cell r="BK78">
            <v>0</v>
          </cell>
          <cell r="BL78">
            <v>256.25508769666664</v>
          </cell>
          <cell r="BM78">
            <v>32.025607569999998</v>
          </cell>
          <cell r="BN78">
            <v>0</v>
          </cell>
          <cell r="BO78">
            <v>0</v>
          </cell>
          <cell r="BP78">
            <v>1.58</v>
          </cell>
          <cell r="BQ78">
            <v>0</v>
          </cell>
          <cell r="BR78">
            <v>30.44560757</v>
          </cell>
          <cell r="BS78">
            <v>326.06972181999998</v>
          </cell>
          <cell r="BT78">
            <v>0</v>
          </cell>
          <cell r="BU78">
            <v>0</v>
          </cell>
          <cell r="BV78">
            <v>100.26024169333334</v>
          </cell>
          <cell r="BW78">
            <v>0</v>
          </cell>
          <cell r="BX78">
            <v>225.80948012666667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1</v>
          </cell>
          <cell r="CR78">
            <v>2</v>
          </cell>
          <cell r="CS78" t="str">
            <v/>
          </cell>
          <cell r="CT78" t="str">
            <v/>
          </cell>
          <cell r="CU78" t="str">
            <v>1 2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691.16186336999999</v>
          </cell>
          <cell r="DG78">
            <v>1050.4982722601014</v>
          </cell>
          <cell r="DH78">
            <v>443.92210871010155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>
            <v>1</v>
          </cell>
          <cell r="DY78">
            <v>2</v>
          </cell>
          <cell r="DZ78" t="str">
            <v/>
          </cell>
          <cell r="EA78" t="str">
            <v/>
          </cell>
          <cell r="EB78" t="str">
            <v>1 2</v>
          </cell>
          <cell r="EC78">
            <v>870.93788626000003</v>
          </cell>
          <cell r="ED78">
            <v>346.03663713000003</v>
          </cell>
          <cell r="EE78">
            <v>488.22764986999994</v>
          </cell>
          <cell r="EF78">
            <v>24.389055679999998</v>
          </cell>
          <cell r="EG78">
            <v>12.284543580000001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1</v>
          </cell>
          <cell r="FH78" t="str">
            <v/>
          </cell>
          <cell r="FI78" t="str">
            <v/>
          </cell>
          <cell r="FJ78" t="str">
            <v/>
          </cell>
          <cell r="FK78" t="str">
            <v>1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104.98333589000001</v>
          </cell>
          <cell r="IZ78">
            <v>0</v>
          </cell>
          <cell r="JA78">
            <v>0</v>
          </cell>
          <cell r="JB78">
            <v>0</v>
          </cell>
          <cell r="JC78">
            <v>4.1915000000000004</v>
          </cell>
          <cell r="JD78">
            <v>4.1915000000000004</v>
          </cell>
          <cell r="JE78">
            <v>0</v>
          </cell>
          <cell r="JF78">
            <v>0</v>
          </cell>
          <cell r="JG78">
            <v>3</v>
          </cell>
          <cell r="JH78">
            <v>0</v>
          </cell>
          <cell r="JI78">
            <v>3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2031.6875938646697</v>
          </cell>
        </row>
        <row r="79">
          <cell r="A79" t="str">
            <v>I_Che146</v>
          </cell>
          <cell r="B79" t="str">
            <v>1.6</v>
          </cell>
          <cell r="C79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79" t="str">
            <v>I_Che146</v>
          </cell>
          <cell r="E79">
            <v>41.579575626729742</v>
          </cell>
          <cell r="H79">
            <v>0</v>
          </cell>
          <cell r="J79">
            <v>41.579575626729742</v>
          </cell>
          <cell r="K79">
            <v>41.579575626729742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41.579575626729742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41.579575626729742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41.579575626729742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41.579575626729742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>
            <v>2</v>
          </cell>
          <cell r="BD79" t="str">
            <v/>
          </cell>
          <cell r="BE79" t="str">
            <v/>
          </cell>
          <cell r="BF79" t="str">
            <v>2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35.236928497228597</v>
          </cell>
          <cell r="CY79">
            <v>35.236928497228597</v>
          </cell>
          <cell r="CZ79">
            <v>0</v>
          </cell>
          <cell r="DA79">
            <v>0</v>
          </cell>
          <cell r="DB79">
            <v>0</v>
          </cell>
          <cell r="DE79">
            <v>0</v>
          </cell>
          <cell r="DG79">
            <v>35.236928497228597</v>
          </cell>
          <cell r="DH79">
            <v>35.236928497228597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35.236928497228597</v>
          </cell>
          <cell r="DS79">
            <v>0</v>
          </cell>
          <cell r="DT79">
            <v>35.236928497228597</v>
          </cell>
          <cell r="DU79">
            <v>0</v>
          </cell>
          <cell r="DV79">
            <v>0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1</v>
          </cell>
          <cell r="FH79" t="str">
            <v/>
          </cell>
          <cell r="FI79" t="str">
            <v/>
          </cell>
          <cell r="FJ79" t="str">
            <v/>
          </cell>
          <cell r="FK79" t="str">
            <v>1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2020</v>
          </cell>
          <cell r="ON79">
            <v>2020</v>
          </cell>
          <cell r="OO79">
            <v>2020</v>
          </cell>
          <cell r="OP79" t="str">
            <v>п</v>
          </cell>
          <cell r="OR79">
            <v>0</v>
          </cell>
          <cell r="OT79">
            <v>41.579575626729742</v>
          </cell>
        </row>
        <row r="80">
          <cell r="A80" t="str">
            <v>J_Che252_19</v>
          </cell>
          <cell r="B80" t="str">
            <v>1.6</v>
          </cell>
          <cell r="C80" t="str">
            <v>Приобретение переплетной системы с устройством обжатия корешка - 2 шт.</v>
          </cell>
          <cell r="D80" t="str">
            <v>J_Che252_19</v>
          </cell>
          <cell r="E80" t="str">
            <v>нд</v>
          </cell>
          <cell r="H80">
            <v>9.9500000000000005E-2</v>
          </cell>
          <cell r="J80">
            <v>9.9500000000000005E-2</v>
          </cell>
          <cell r="K80">
            <v>9.9500000000000005E-2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>
            <v>1</v>
          </cell>
          <cell r="BC80">
            <v>2</v>
          </cell>
          <cell r="BD80">
            <v>3</v>
          </cell>
          <cell r="BE80">
            <v>4</v>
          </cell>
          <cell r="BF80" t="str">
            <v>1 2 3 4</v>
          </cell>
          <cell r="BG80">
            <v>9.9500000000000005E-2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9.9500000000000005E-2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9.9500000000000005E-2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9.9500000000000005E-2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>
            <v>2</v>
          </cell>
          <cell r="CS80" t="str">
            <v/>
          </cell>
          <cell r="CT80" t="str">
            <v/>
          </cell>
          <cell r="CU80" t="str">
            <v>2</v>
          </cell>
          <cell r="CX80" t="str">
            <v>нд</v>
          </cell>
          <cell r="CY80" t="str">
            <v>нд</v>
          </cell>
          <cell r="CZ80" t="str">
            <v>нд</v>
          </cell>
          <cell r="DA80" t="str">
            <v>нд</v>
          </cell>
          <cell r="DB80" t="str">
            <v>нд</v>
          </cell>
          <cell r="DE80">
            <v>8.2916660000000003E-2</v>
          </cell>
          <cell r="DG80">
            <v>8.2916660000000003E-2</v>
          </cell>
          <cell r="DH80">
            <v>8.2916660000000003E-2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 t="str">
            <v>нд</v>
          </cell>
          <cell r="DS80" t="str">
            <v>нд</v>
          </cell>
          <cell r="DT80" t="str">
            <v>нд</v>
          </cell>
          <cell r="DU80" t="str">
            <v>нд</v>
          </cell>
          <cell r="DV80" t="str">
            <v>нд</v>
          </cell>
          <cell r="DW80" t="str">
            <v>нд</v>
          </cell>
          <cell r="DX80" t="str">
            <v/>
          </cell>
          <cell r="DY80">
            <v>2</v>
          </cell>
          <cell r="DZ80" t="str">
            <v/>
          </cell>
          <cell r="EA80" t="str">
            <v/>
          </cell>
          <cell r="EB80" t="str">
            <v>2</v>
          </cell>
          <cell r="EC80">
            <v>8.2916660000000003E-2</v>
          </cell>
          <cell r="ED80">
            <v>0</v>
          </cell>
          <cell r="EE80">
            <v>0</v>
          </cell>
          <cell r="EF80">
            <v>8.2916660000000003E-2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8.2916660000000003E-2</v>
          </cell>
          <cell r="EN80">
            <v>0</v>
          </cell>
          <cell r="EO80">
            <v>0</v>
          </cell>
          <cell r="EP80">
            <v>8.2916660000000003E-2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1</v>
          </cell>
          <cell r="FH80">
            <v>2</v>
          </cell>
          <cell r="FI80">
            <v>3</v>
          </cell>
          <cell r="FJ80">
            <v>4</v>
          </cell>
          <cell r="FK80" t="str">
            <v>1 2 3 4</v>
          </cell>
          <cell r="FN80" t="str">
            <v>нд</v>
          </cell>
          <cell r="FO80" t="str">
            <v>нд</v>
          </cell>
          <cell r="FP80" t="str">
            <v>нд</v>
          </cell>
          <cell r="FQ80" t="str">
            <v>нд</v>
          </cell>
          <cell r="FR80" t="str">
            <v>нд</v>
          </cell>
          <cell r="FS80" t="str">
            <v>нд</v>
          </cell>
          <cell r="FT80" t="str">
            <v>нд</v>
          </cell>
          <cell r="FU80" t="str">
            <v>нд</v>
          </cell>
          <cell r="FV80" t="str">
            <v>нд</v>
          </cell>
          <cell r="FW80" t="str">
            <v>нд</v>
          </cell>
          <cell r="FX80" t="str">
            <v>нд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 t="str">
            <v>нд</v>
          </cell>
          <cell r="GL80" t="str">
            <v>нд</v>
          </cell>
          <cell r="GM80" t="str">
            <v>нд</v>
          </cell>
          <cell r="GN80" t="str">
            <v>нд</v>
          </cell>
          <cell r="GO80" t="str">
            <v>нд</v>
          </cell>
          <cell r="GP80" t="str">
            <v>нд</v>
          </cell>
          <cell r="GQ80" t="str">
            <v>нд</v>
          </cell>
          <cell r="GR80" t="str">
            <v>нд</v>
          </cell>
          <cell r="GS80" t="str">
            <v>нд</v>
          </cell>
          <cell r="GT80" t="str">
            <v>нд</v>
          </cell>
          <cell r="GU80" t="str">
            <v>нд</v>
          </cell>
          <cell r="GV80" t="str">
            <v>нд</v>
          </cell>
          <cell r="GW80" t="str">
            <v>нд</v>
          </cell>
          <cell r="GX80" t="str">
            <v>нд</v>
          </cell>
          <cell r="GY80" t="str">
            <v>нд</v>
          </cell>
          <cell r="GZ80" t="str">
            <v>нд</v>
          </cell>
          <cell r="HA80" t="str">
            <v>нд</v>
          </cell>
          <cell r="HB80" t="str">
            <v>нд</v>
          </cell>
          <cell r="HC80" t="str">
            <v>нд</v>
          </cell>
          <cell r="HD80" t="str">
            <v>нд</v>
          </cell>
          <cell r="HE80" t="str">
            <v>нд</v>
          </cell>
          <cell r="HF80" t="str">
            <v>нд</v>
          </cell>
          <cell r="HG80" t="str">
            <v>нд</v>
          </cell>
          <cell r="HH80" t="str">
            <v>нд</v>
          </cell>
          <cell r="HI80" t="str">
            <v>нд</v>
          </cell>
          <cell r="HJ80" t="str">
            <v>нд</v>
          </cell>
          <cell r="HK80" t="str">
            <v>нд</v>
          </cell>
          <cell r="HL80" t="str">
            <v>нд</v>
          </cell>
          <cell r="HM80" t="str">
            <v>нд</v>
          </cell>
          <cell r="HN80" t="str">
            <v>нд</v>
          </cell>
          <cell r="HO80" t="str">
            <v>нд</v>
          </cell>
          <cell r="HP80" t="str">
            <v>нд</v>
          </cell>
          <cell r="HQ80" t="str">
            <v>нд</v>
          </cell>
          <cell r="HR80" t="str">
            <v>нд</v>
          </cell>
          <cell r="HS80" t="str">
            <v>нд</v>
          </cell>
          <cell r="HT80" t="str">
            <v>нд</v>
          </cell>
          <cell r="HU80" t="str">
            <v>нд</v>
          </cell>
          <cell r="HV80" t="str">
            <v>нд</v>
          </cell>
          <cell r="HW80" t="str">
            <v>нд</v>
          </cell>
          <cell r="HX80" t="str">
            <v>нд</v>
          </cell>
          <cell r="HY80" t="str">
            <v>нд</v>
          </cell>
          <cell r="HZ80" t="str">
            <v>нд</v>
          </cell>
          <cell r="IA80" t="str">
            <v>нд</v>
          </cell>
          <cell r="IB80" t="str">
            <v>нд</v>
          </cell>
          <cell r="IC80" t="str">
            <v>нд</v>
          </cell>
          <cell r="ID80">
            <v>0</v>
          </cell>
          <cell r="IE80" t="str">
            <v>нд</v>
          </cell>
          <cell r="IF80">
            <v>0</v>
          </cell>
          <cell r="IG80">
            <v>0</v>
          </cell>
          <cell r="IH80" t="str">
            <v>нд</v>
          </cell>
          <cell r="II80" t="str">
            <v>нд</v>
          </cell>
          <cell r="IJ80" t="str">
            <v>нд</v>
          </cell>
          <cell r="IK80">
            <v>0</v>
          </cell>
          <cell r="IL80">
            <v>0</v>
          </cell>
          <cell r="IM80">
            <v>0</v>
          </cell>
          <cell r="IN80" t="str">
            <v>нд</v>
          </cell>
          <cell r="IO80" t="str">
            <v>нд</v>
          </cell>
          <cell r="IP80" t="str">
            <v>нд</v>
          </cell>
          <cell r="IQ80" t="str">
            <v>нд</v>
          </cell>
          <cell r="IR80" t="str">
            <v>нд</v>
          </cell>
          <cell r="IS80" t="str">
            <v>нд</v>
          </cell>
          <cell r="IT80" t="str">
            <v>нд</v>
          </cell>
          <cell r="IU80" t="str">
            <v>нд</v>
          </cell>
          <cell r="IV80" t="str">
            <v>нд</v>
          </cell>
          <cell r="IW80" t="str">
            <v>нд</v>
          </cell>
          <cell r="IX80" t="str">
            <v>нд</v>
          </cell>
          <cell r="IY80">
            <v>8.2916660000000003E-2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1</v>
          </cell>
          <cell r="JH80">
            <v>0</v>
          </cell>
          <cell r="JI80">
            <v>1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8.2916660000000003E-2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</v>
          </cell>
          <cell r="KD80">
            <v>0</v>
          </cell>
          <cell r="KE80">
            <v>1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 t="str">
            <v>нд</v>
          </cell>
          <cell r="LR80" t="str">
            <v>нд</v>
          </cell>
          <cell r="LS80" t="str">
            <v>нд</v>
          </cell>
          <cell r="LT80" t="str">
            <v>нд</v>
          </cell>
          <cell r="LU80" t="str">
            <v>нд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 t="str">
            <v>нд</v>
          </cell>
          <cell r="MD80" t="str">
            <v>нд</v>
          </cell>
          <cell r="ME80" t="str">
            <v>нд</v>
          </cell>
          <cell r="MF80" t="str">
            <v>нд</v>
          </cell>
          <cell r="MG80" t="str">
            <v>нд</v>
          </cell>
          <cell r="MH80" t="str">
            <v>нд</v>
          </cell>
          <cell r="MI80" t="str">
            <v>нд</v>
          </cell>
          <cell r="MJ80" t="str">
            <v>нд</v>
          </cell>
          <cell r="MK80" t="str">
            <v>нд</v>
          </cell>
          <cell r="ML80" t="str">
            <v>нд</v>
          </cell>
          <cell r="MM80" t="str">
            <v>нд</v>
          </cell>
          <cell r="MN80" t="str">
            <v>нд</v>
          </cell>
          <cell r="MO80" t="str">
            <v>нд</v>
          </cell>
          <cell r="MP80" t="str">
            <v>нд</v>
          </cell>
          <cell r="MQ80" t="str">
            <v>нд</v>
          </cell>
          <cell r="MR80" t="str">
            <v>нд</v>
          </cell>
          <cell r="MS80" t="str">
            <v>нд</v>
          </cell>
          <cell r="MT80" t="str">
            <v>нд</v>
          </cell>
          <cell r="MU80" t="str">
            <v>нд</v>
          </cell>
          <cell r="MV80" t="str">
            <v>нд</v>
          </cell>
          <cell r="MW80" t="str">
            <v>нд</v>
          </cell>
          <cell r="MX80" t="str">
            <v>нд</v>
          </cell>
          <cell r="MY80" t="str">
            <v>нд</v>
          </cell>
          <cell r="MZ80" t="str">
            <v>нд</v>
          </cell>
          <cell r="NA80" t="str">
            <v>нд</v>
          </cell>
          <cell r="NB80" t="str">
            <v>нд</v>
          </cell>
          <cell r="NC80" t="str">
            <v>нд</v>
          </cell>
          <cell r="ND80" t="str">
            <v>нд</v>
          </cell>
          <cell r="NE80" t="str">
            <v>нд</v>
          </cell>
          <cell r="NF80" t="str">
            <v>нд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2019</v>
          </cell>
          <cell r="ON80">
            <v>2019</v>
          </cell>
          <cell r="OO80">
            <v>2019</v>
          </cell>
          <cell r="OP80" t="str">
            <v>з</v>
          </cell>
          <cell r="OR80">
            <v>0</v>
          </cell>
          <cell r="OT80">
            <v>9.9499991999999995E-2</v>
          </cell>
        </row>
        <row r="81">
          <cell r="A81" t="str">
            <v>G_Che2_16</v>
          </cell>
          <cell r="B81" t="str">
            <v>1.6</v>
          </cell>
          <cell r="C81" t="str">
            <v>Приобретение оборудования, требующего монтажа для обслуживания сетей, прочее оборудование.</v>
          </cell>
          <cell r="D81" t="str">
            <v>G_Che2_16</v>
          </cell>
          <cell r="E81" t="str">
            <v>нд</v>
          </cell>
          <cell r="H81">
            <v>74.025306980999986</v>
          </cell>
          <cell r="J81">
            <v>34.643836287200003</v>
          </cell>
          <cell r="K81">
            <v>20.296818497200007</v>
          </cell>
          <cell r="L81">
            <v>14.347017789999999</v>
          </cell>
          <cell r="M81">
            <v>0</v>
          </cell>
          <cell r="N81">
            <v>0</v>
          </cell>
          <cell r="O81">
            <v>12.384275026440626</v>
          </cell>
          <cell r="P81">
            <v>0</v>
          </cell>
          <cell r="Q81">
            <v>1.9627427635593717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>
            <v>1</v>
          </cell>
          <cell r="BC81">
            <v>2</v>
          </cell>
          <cell r="BD81">
            <v>3</v>
          </cell>
          <cell r="BE81">
            <v>4</v>
          </cell>
          <cell r="BF81" t="str">
            <v>1 2 3 4</v>
          </cell>
          <cell r="BG81">
            <v>1.58</v>
          </cell>
          <cell r="BH81">
            <v>0</v>
          </cell>
          <cell r="BI81">
            <v>0</v>
          </cell>
          <cell r="BJ81">
            <v>1.4924058333333337</v>
          </cell>
          <cell r="BK81">
            <v>0</v>
          </cell>
          <cell r="BL81">
            <v>8.7594166666666307E-2</v>
          </cell>
          <cell r="BM81">
            <v>1.58</v>
          </cell>
          <cell r="BN81">
            <v>0</v>
          </cell>
          <cell r="BO81">
            <v>0</v>
          </cell>
          <cell r="BP81">
            <v>1.58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-8.7594166666666307E-2</v>
          </cell>
          <cell r="BW81">
            <v>0</v>
          </cell>
          <cell r="BX81">
            <v>8.7594166666666307E-2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1</v>
          </cell>
          <cell r="CR81" t="str">
            <v/>
          </cell>
          <cell r="CS81" t="str">
            <v/>
          </cell>
          <cell r="CT81" t="str">
            <v/>
          </cell>
          <cell r="CU81" t="str">
            <v>1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E81">
            <v>47.521395320000003</v>
          </cell>
          <cell r="DG81">
            <v>41.403940615166661</v>
          </cell>
          <cell r="DH81">
            <v>41.403940615166661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 t="str">
            <v>нд</v>
          </cell>
          <cell r="DS81" t="str">
            <v>нд</v>
          </cell>
          <cell r="DT81" t="str">
            <v>нд</v>
          </cell>
          <cell r="DU81" t="str">
            <v>нд</v>
          </cell>
          <cell r="DV81" t="str">
            <v>нд</v>
          </cell>
          <cell r="DW81" t="str">
            <v>нд</v>
          </cell>
          <cell r="DX81" t="str">
            <v/>
          </cell>
          <cell r="DY81">
            <v>2</v>
          </cell>
          <cell r="DZ81" t="str">
            <v/>
          </cell>
          <cell r="EA81" t="str">
            <v/>
          </cell>
          <cell r="EB81" t="str">
            <v>2</v>
          </cell>
          <cell r="EC81">
            <v>11.64023137</v>
          </cell>
          <cell r="ED81">
            <v>0</v>
          </cell>
          <cell r="EE81">
            <v>0</v>
          </cell>
          <cell r="EF81">
            <v>11.64023137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11.64023137</v>
          </cell>
          <cell r="EN81">
            <v>0</v>
          </cell>
          <cell r="EO81">
            <v>0</v>
          </cell>
          <cell r="EP81">
            <v>11.64023137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>
            <v>2</v>
          </cell>
          <cell r="FI81">
            <v>3</v>
          </cell>
          <cell r="FJ81">
            <v>4</v>
          </cell>
          <cell r="FK81" t="str">
            <v>1 2 3 4</v>
          </cell>
          <cell r="FN81" t="str">
            <v>нд</v>
          </cell>
          <cell r="FO81" t="str">
            <v>нд</v>
          </cell>
          <cell r="FP81" t="str">
            <v>нд</v>
          </cell>
          <cell r="FQ81" t="str">
            <v>нд</v>
          </cell>
          <cell r="FR81" t="str">
            <v>нд</v>
          </cell>
          <cell r="FS81" t="str">
            <v>нд</v>
          </cell>
          <cell r="FT81" t="str">
            <v>нд</v>
          </cell>
          <cell r="FU81" t="str">
            <v>нд</v>
          </cell>
          <cell r="FV81" t="str">
            <v>нд</v>
          </cell>
          <cell r="FW81" t="str">
            <v>нд</v>
          </cell>
          <cell r="FX81" t="str">
            <v>нд</v>
          </cell>
          <cell r="FZ81">
            <v>25.513163949999999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13</v>
          </cell>
          <cell r="GI81">
            <v>0</v>
          </cell>
          <cell r="GJ81">
            <v>13</v>
          </cell>
          <cell r="GK81" t="str">
            <v>нд</v>
          </cell>
          <cell r="GL81" t="str">
            <v>нд</v>
          </cell>
          <cell r="GM81" t="str">
            <v>нд</v>
          </cell>
          <cell r="GN81" t="str">
            <v>нд</v>
          </cell>
          <cell r="GO81" t="str">
            <v>нд</v>
          </cell>
          <cell r="GP81" t="str">
            <v>нд</v>
          </cell>
          <cell r="GQ81" t="str">
            <v>нд</v>
          </cell>
          <cell r="GR81" t="str">
            <v>нд</v>
          </cell>
          <cell r="GS81" t="str">
            <v>нд</v>
          </cell>
          <cell r="GT81" t="str">
            <v>нд</v>
          </cell>
          <cell r="GU81" t="str">
            <v>нд</v>
          </cell>
          <cell r="GV81" t="str">
            <v>нд</v>
          </cell>
          <cell r="GW81" t="str">
            <v>нд</v>
          </cell>
          <cell r="GX81" t="str">
            <v>нд</v>
          </cell>
          <cell r="GY81" t="str">
            <v>нд</v>
          </cell>
          <cell r="GZ81" t="str">
            <v>нд</v>
          </cell>
          <cell r="HA81" t="str">
            <v>нд</v>
          </cell>
          <cell r="HB81" t="str">
            <v>нд</v>
          </cell>
          <cell r="HC81" t="str">
            <v>нд</v>
          </cell>
          <cell r="HD81" t="str">
            <v>нд</v>
          </cell>
          <cell r="HE81" t="str">
            <v>нд</v>
          </cell>
          <cell r="HF81" t="str">
            <v>нд</v>
          </cell>
          <cell r="HG81" t="str">
            <v>нд</v>
          </cell>
          <cell r="HH81" t="str">
            <v>нд</v>
          </cell>
          <cell r="HI81" t="str">
            <v>нд</v>
          </cell>
          <cell r="HJ81" t="str">
            <v>нд</v>
          </cell>
          <cell r="HK81" t="str">
            <v>нд</v>
          </cell>
          <cell r="HL81" t="str">
            <v>нд</v>
          </cell>
          <cell r="HM81" t="str">
            <v>нд</v>
          </cell>
          <cell r="HN81" t="str">
            <v>нд</v>
          </cell>
          <cell r="HO81" t="str">
            <v>нд</v>
          </cell>
          <cell r="HP81" t="str">
            <v>нд</v>
          </cell>
          <cell r="HQ81" t="str">
            <v>нд</v>
          </cell>
          <cell r="HR81" t="str">
            <v>нд</v>
          </cell>
          <cell r="HS81" t="str">
            <v>нд</v>
          </cell>
          <cell r="HT81" t="str">
            <v>нд</v>
          </cell>
          <cell r="HU81" t="str">
            <v>нд</v>
          </cell>
          <cell r="HV81" t="str">
            <v>нд</v>
          </cell>
          <cell r="HW81" t="str">
            <v>нд</v>
          </cell>
          <cell r="HX81" t="str">
            <v>нд</v>
          </cell>
          <cell r="HY81" t="str">
            <v>нд</v>
          </cell>
          <cell r="HZ81" t="str">
            <v>нд</v>
          </cell>
          <cell r="IA81" t="str">
            <v>нд</v>
          </cell>
          <cell r="IB81" t="str">
            <v>нд</v>
          </cell>
          <cell r="IC81" t="str">
            <v>нд</v>
          </cell>
          <cell r="ID81">
            <v>0</v>
          </cell>
          <cell r="IE81" t="str">
            <v>нд</v>
          </cell>
          <cell r="IF81">
            <v>0</v>
          </cell>
          <cell r="IG81">
            <v>0</v>
          </cell>
          <cell r="IH81" t="str">
            <v>нд</v>
          </cell>
          <cell r="II81" t="str">
            <v>нд</v>
          </cell>
          <cell r="IJ81" t="str">
            <v>нд</v>
          </cell>
          <cell r="IK81">
            <v>0</v>
          </cell>
          <cell r="IL81">
            <v>0</v>
          </cell>
          <cell r="IM81">
            <v>0</v>
          </cell>
          <cell r="IN81" t="str">
            <v>нд</v>
          </cell>
          <cell r="IO81" t="str">
            <v>нд</v>
          </cell>
          <cell r="IP81" t="str">
            <v>нд</v>
          </cell>
          <cell r="IQ81" t="str">
            <v>нд</v>
          </cell>
          <cell r="IR81" t="str">
            <v>нд</v>
          </cell>
          <cell r="IS81" t="str">
            <v>нд</v>
          </cell>
          <cell r="IT81" t="str">
            <v>нд</v>
          </cell>
          <cell r="IU81" t="str">
            <v>нд</v>
          </cell>
          <cell r="IV81" t="str">
            <v>нд</v>
          </cell>
          <cell r="IW81" t="str">
            <v>нд</v>
          </cell>
          <cell r="IX81" t="str">
            <v>нд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 t="str">
            <v>нд</v>
          </cell>
          <cell r="LR81" t="str">
            <v>нд</v>
          </cell>
          <cell r="LS81" t="str">
            <v>нд</v>
          </cell>
          <cell r="LT81" t="str">
            <v>нд</v>
          </cell>
          <cell r="LU81" t="str">
            <v>нд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 t="str">
            <v>нд</v>
          </cell>
          <cell r="MD81" t="str">
            <v>нд</v>
          </cell>
          <cell r="ME81" t="str">
            <v>нд</v>
          </cell>
          <cell r="MF81" t="str">
            <v>нд</v>
          </cell>
          <cell r="MG81" t="str">
            <v>нд</v>
          </cell>
          <cell r="MH81" t="str">
            <v>нд</v>
          </cell>
          <cell r="MI81" t="str">
            <v>нд</v>
          </cell>
          <cell r="MJ81" t="str">
            <v>нд</v>
          </cell>
          <cell r="MK81" t="str">
            <v>нд</v>
          </cell>
          <cell r="ML81" t="str">
            <v>нд</v>
          </cell>
          <cell r="MM81" t="str">
            <v>нд</v>
          </cell>
          <cell r="MN81" t="str">
            <v>нд</v>
          </cell>
          <cell r="MO81" t="str">
            <v>нд</v>
          </cell>
          <cell r="MP81" t="str">
            <v>нд</v>
          </cell>
          <cell r="MQ81" t="str">
            <v>нд</v>
          </cell>
          <cell r="MR81" t="str">
            <v>нд</v>
          </cell>
          <cell r="MS81" t="str">
            <v>нд</v>
          </cell>
          <cell r="MT81" t="str">
            <v>нд</v>
          </cell>
          <cell r="MU81" t="str">
            <v>нд</v>
          </cell>
          <cell r="MV81" t="str">
            <v>нд</v>
          </cell>
          <cell r="MW81" t="str">
            <v>нд</v>
          </cell>
          <cell r="MX81" t="str">
            <v>нд</v>
          </cell>
          <cell r="MY81" t="str">
            <v>нд</v>
          </cell>
          <cell r="MZ81" t="str">
            <v>нд</v>
          </cell>
          <cell r="NA81" t="str">
            <v>нд</v>
          </cell>
          <cell r="NB81" t="str">
            <v>нд</v>
          </cell>
          <cell r="NC81" t="str">
            <v>нд</v>
          </cell>
          <cell r="ND81" t="str">
            <v>нд</v>
          </cell>
          <cell r="NE81" t="str">
            <v>нд</v>
          </cell>
          <cell r="NF81" t="str">
            <v>нд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2014</v>
          </cell>
          <cell r="OM81">
            <v>2019</v>
          </cell>
          <cell r="ON81">
            <v>2019</v>
          </cell>
          <cell r="OO81">
            <v>2019</v>
          </cell>
          <cell r="OP81" t="str">
            <v>и</v>
          </cell>
          <cell r="OR81">
            <v>0</v>
          </cell>
          <cell r="OT81">
            <v>92.742125478199995</v>
          </cell>
        </row>
        <row r="82">
          <cell r="A82" t="str">
            <v>F_prj_109108_5385</v>
          </cell>
          <cell r="B82" t="str">
            <v>1.6</v>
          </cell>
          <cell r="C8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2" t="str">
            <v>F_prj_109108_5385</v>
          </cell>
          <cell r="E82">
            <v>349.81581535600003</v>
          </cell>
          <cell r="H82">
            <v>349.75487930600002</v>
          </cell>
          <cell r="J82">
            <v>100.40877191000001</v>
          </cell>
          <cell r="K82">
            <v>100.40877191000001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100.34783586</v>
          </cell>
          <cell r="BH82">
            <v>0</v>
          </cell>
          <cell r="BI82">
            <v>0</v>
          </cell>
          <cell r="BJ82">
            <v>100.34783586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100.34783586</v>
          </cell>
          <cell r="BT82">
            <v>0</v>
          </cell>
          <cell r="BU82">
            <v>0</v>
          </cell>
          <cell r="BV82">
            <v>100.34783586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>
            <v>2</v>
          </cell>
          <cell r="CS82" t="str">
            <v/>
          </cell>
          <cell r="CT82" t="str">
            <v/>
          </cell>
          <cell r="CU82" t="str">
            <v>2</v>
          </cell>
          <cell r="CX82">
            <v>296.686398</v>
          </cell>
          <cell r="CY82">
            <v>37.646070000000002</v>
          </cell>
          <cell r="CZ82">
            <v>279.44923999999997</v>
          </cell>
          <cell r="DA82">
            <v>13.38151</v>
          </cell>
          <cell r="DB82">
            <v>27.529046000000058</v>
          </cell>
          <cell r="DE82">
            <v>296.68639800000005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2013</v>
          </cell>
          <cell r="OM82" t="str">
            <v>нд</v>
          </cell>
          <cell r="ON82">
            <v>2023</v>
          </cell>
          <cell r="OO82" t="str">
            <v>нд</v>
          </cell>
          <cell r="OP82" t="str">
            <v>с</v>
          </cell>
          <cell r="OR82">
            <v>0</v>
          </cell>
          <cell r="OT82">
            <v>349.81581535600003</v>
          </cell>
        </row>
        <row r="83">
          <cell r="A83" t="str">
            <v>I_Che143</v>
          </cell>
          <cell r="B83" t="str">
            <v>1.6</v>
          </cell>
          <cell r="C83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83" t="str">
            <v>I_Che143</v>
          </cell>
          <cell r="E83">
            <v>200.83727325999999</v>
          </cell>
          <cell r="H83">
            <v>70.274528279999998</v>
          </cell>
          <cell r="J83">
            <v>200.83727325999999</v>
          </cell>
          <cell r="K83">
            <v>200.83727325999999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70.274528279999998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70.274528279999998</v>
          </cell>
          <cell r="BM83">
            <v>5.9525603299999998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5.9525603299999998</v>
          </cell>
          <cell r="BS83">
            <v>64.321967950000001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64.321967950000001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 t="str">
            <v/>
          </cell>
          <cell r="CT83" t="str">
            <v/>
          </cell>
          <cell r="CU83" t="str">
            <v>1 2</v>
          </cell>
          <cell r="CX83">
            <v>170.20107903389831</v>
          </cell>
          <cell r="CY83">
            <v>170.20107903389831</v>
          </cell>
          <cell r="CZ83">
            <v>0</v>
          </cell>
          <cell r="DA83">
            <v>0</v>
          </cell>
          <cell r="DB83">
            <v>0</v>
          </cell>
          <cell r="DE83">
            <v>119.94958475</v>
          </cell>
          <cell r="DG83">
            <v>170.20107903389831</v>
          </cell>
          <cell r="DH83">
            <v>170.20107903389831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2</v>
          </cell>
          <cell r="DZ83" t="str">
            <v/>
          </cell>
          <cell r="EA83" t="str">
            <v/>
          </cell>
          <cell r="EB83" t="str">
            <v>1 2</v>
          </cell>
          <cell r="EC83">
            <v>119.94958475</v>
          </cell>
          <cell r="ED83">
            <v>188.65710769</v>
          </cell>
          <cell r="EE83">
            <v>0</v>
          </cell>
          <cell r="EF83">
            <v>0</v>
          </cell>
          <cell r="EG83">
            <v>0</v>
          </cell>
          <cell r="EH83">
            <v>77.907908059999997</v>
          </cell>
          <cell r="EI83">
            <v>146.615431</v>
          </cell>
          <cell r="EJ83">
            <v>0</v>
          </cell>
          <cell r="EK83">
            <v>0</v>
          </cell>
          <cell r="EL83">
            <v>0</v>
          </cell>
          <cell r="EM83">
            <v>42.041676690000003</v>
          </cell>
          <cell r="EN83">
            <v>42.041676690000003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2018</v>
          </cell>
          <cell r="OM83">
            <v>2019</v>
          </cell>
          <cell r="ON83">
            <v>2019</v>
          </cell>
          <cell r="OO83">
            <v>2019</v>
          </cell>
          <cell r="OP83" t="str">
            <v>п</v>
          </cell>
          <cell r="OR83">
            <v>0</v>
          </cell>
          <cell r="OT83">
            <v>200.83727325999999</v>
          </cell>
        </row>
        <row r="84">
          <cell r="A84" t="str">
            <v>I_Che136</v>
          </cell>
          <cell r="B84" t="str">
            <v>1.6</v>
          </cell>
          <cell r="C84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84" t="str">
            <v>I_Che136</v>
          </cell>
          <cell r="E84">
            <v>207.37437734</v>
          </cell>
          <cell r="H84">
            <v>185.68207825000002</v>
          </cell>
          <cell r="J84">
            <v>207.37437734</v>
          </cell>
          <cell r="K84">
            <v>207.37437734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185.68207825000002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185.68207825000002</v>
          </cell>
          <cell r="BM84">
            <v>24.493047239999999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24.493047239999999</v>
          </cell>
          <cell r="BS84">
            <v>161.18903101000001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161.18903101000001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 t="str">
            <v/>
          </cell>
          <cell r="CT84" t="str">
            <v/>
          </cell>
          <cell r="CU84" t="str">
            <v>1 2</v>
          </cell>
          <cell r="CX84">
            <v>175.74099774576271</v>
          </cell>
          <cell r="CY84">
            <v>175.74099774576271</v>
          </cell>
          <cell r="CZ84">
            <v>0</v>
          </cell>
          <cell r="DA84">
            <v>0</v>
          </cell>
          <cell r="DB84">
            <v>0</v>
          </cell>
          <cell r="DE84">
            <v>225.6534661</v>
          </cell>
          <cell r="DG84">
            <v>175.74099774576271</v>
          </cell>
          <cell r="DH84">
            <v>175.74099774576271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1</v>
          </cell>
          <cell r="DY84">
            <v>2</v>
          </cell>
          <cell r="DZ84" t="str">
            <v/>
          </cell>
          <cell r="EA84" t="str">
            <v/>
          </cell>
          <cell r="EB84" t="str">
            <v>1 2</v>
          </cell>
          <cell r="EC84">
            <v>225.6534661</v>
          </cell>
          <cell r="ED84">
            <v>156.94594316000001</v>
          </cell>
          <cell r="EE84">
            <v>0</v>
          </cell>
          <cell r="EF84">
            <v>0</v>
          </cell>
          <cell r="EG84">
            <v>0</v>
          </cell>
          <cell r="EH84">
            <v>146.615431</v>
          </cell>
          <cell r="EI84">
            <v>77.907908059999997</v>
          </cell>
          <cell r="EJ84">
            <v>0</v>
          </cell>
          <cell r="EK84">
            <v>0</v>
          </cell>
          <cell r="EL84">
            <v>0</v>
          </cell>
          <cell r="EM84">
            <v>79.038035100000002</v>
          </cell>
          <cell r="EN84">
            <v>79.038035100000002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2018</v>
          </cell>
          <cell r="OM84">
            <v>2019</v>
          </cell>
          <cell r="ON84">
            <v>2019</v>
          </cell>
          <cell r="OO84">
            <v>2019</v>
          </cell>
          <cell r="OP84" t="str">
            <v>п</v>
          </cell>
          <cell r="OR84">
            <v>0</v>
          </cell>
          <cell r="OT84">
            <v>207.37437734</v>
          </cell>
        </row>
        <row r="85">
          <cell r="A85" t="str">
            <v>I_Che231_18</v>
          </cell>
          <cell r="B85" t="str">
            <v>1.6</v>
          </cell>
          <cell r="C85" t="str">
            <v>Приобретение персональных компьютеров–30 ед</v>
          </cell>
          <cell r="D85" t="str">
            <v>I_Che231_18</v>
          </cell>
          <cell r="E85" t="str">
            <v>нд</v>
          </cell>
          <cell r="H85">
            <v>1.496360997</v>
          </cell>
          <cell r="J85">
            <v>1.496360997</v>
          </cell>
          <cell r="K85">
            <v>0.1113869999999999</v>
          </cell>
          <cell r="L85">
            <v>1.3849739970000001</v>
          </cell>
          <cell r="M85">
            <v>0</v>
          </cell>
          <cell r="N85">
            <v>0</v>
          </cell>
          <cell r="O85">
            <v>1.1737067771186442</v>
          </cell>
          <cell r="P85">
            <v>0</v>
          </cell>
          <cell r="Q85">
            <v>0.21126721988135588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>
            <v>4</v>
          </cell>
          <cell r="BF85" t="str">
            <v>1 2 3 4</v>
          </cell>
          <cell r="BG85">
            <v>0.111387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0.111387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0.111387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0.111387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>
            <v>2</v>
          </cell>
          <cell r="CS85" t="str">
            <v/>
          </cell>
          <cell r="CT85" t="str">
            <v/>
          </cell>
          <cell r="CU85" t="str">
            <v>2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1.2681025399999999</v>
          </cell>
          <cell r="DG85">
            <v>1.2681025399999999</v>
          </cell>
          <cell r="DH85">
            <v>0</v>
          </cell>
          <cell r="DI85">
            <v>1.2681025399999999</v>
          </cell>
          <cell r="DJ85">
            <v>0</v>
          </cell>
          <cell r="DK85">
            <v>0</v>
          </cell>
          <cell r="DL85">
            <v>1.2681025399999999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2</v>
          </cell>
          <cell r="FI85">
            <v>3</v>
          </cell>
          <cell r="FJ85">
            <v>4</v>
          </cell>
          <cell r="FK85" t="str">
            <v>1 2 3 4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1.2681025399999999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30</v>
          </cell>
          <cell r="GI85">
            <v>0</v>
          </cell>
          <cell r="GJ85">
            <v>30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>
            <v>0</v>
          </cell>
          <cell r="IE85" t="str">
            <v>нд</v>
          </cell>
          <cell r="IF85">
            <v>0</v>
          </cell>
          <cell r="IG85">
            <v>0</v>
          </cell>
          <cell r="IH85" t="str">
            <v>нд</v>
          </cell>
          <cell r="II85" t="str">
            <v>нд</v>
          </cell>
          <cell r="IJ85" t="str">
            <v>нд</v>
          </cell>
          <cell r="IK85">
            <v>0</v>
          </cell>
          <cell r="IL85">
            <v>0</v>
          </cell>
          <cell r="IM85">
            <v>0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2019</v>
          </cell>
          <cell r="ON85">
            <v>2019</v>
          </cell>
          <cell r="OO85">
            <v>2019</v>
          </cell>
          <cell r="OP85" t="str">
            <v>и</v>
          </cell>
          <cell r="OR85">
            <v>0</v>
          </cell>
          <cell r="OT85">
            <v>1.496360997</v>
          </cell>
        </row>
        <row r="86">
          <cell r="A86" t="str">
            <v>I_Che164</v>
          </cell>
          <cell r="B86" t="str">
            <v>1.6</v>
          </cell>
          <cell r="C86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86" t="str">
            <v>I_Che164</v>
          </cell>
          <cell r="E86">
            <v>8.8757181307055699</v>
          </cell>
          <cell r="H86">
            <v>0</v>
          </cell>
          <cell r="J86">
            <v>8.8757181307055699</v>
          </cell>
          <cell r="K86">
            <v>8.8757181307055699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8.8757181307055699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8.8757181307055699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8.8757181307055699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8.8757181307055699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7.5217950260216702</v>
          </cell>
          <cell r="CY86">
            <v>7.5217950260216702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7.5217950260216702</v>
          </cell>
          <cell r="DH86">
            <v>7.5217950260216702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7.5217950260216702</v>
          </cell>
          <cell r="DS86">
            <v>0</v>
          </cell>
          <cell r="DT86">
            <v>7.5217950260216702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2018</v>
          </cell>
          <cell r="OM86">
            <v>2019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8.8757181307055699</v>
          </cell>
        </row>
        <row r="87">
          <cell r="A87" t="str">
            <v>I_Che165</v>
          </cell>
          <cell r="B87" t="str">
            <v>1.6</v>
          </cell>
          <cell r="C87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87" t="str">
            <v>I_Che165</v>
          </cell>
          <cell r="E87">
            <v>16.206652335787847</v>
          </cell>
          <cell r="H87">
            <v>0</v>
          </cell>
          <cell r="J87">
            <v>16.206652335787847</v>
          </cell>
          <cell r="K87">
            <v>16.206652335787847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16.206652335787847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16.206652335787847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16.206652335787847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16.206652335787847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 t="str">
            <v/>
          </cell>
          <cell r="BC87">
            <v>2</v>
          </cell>
          <cell r="BD87" t="str">
            <v/>
          </cell>
          <cell r="BE87" t="str">
            <v/>
          </cell>
          <cell r="BF87" t="str">
            <v>2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13.734451132023599</v>
          </cell>
          <cell r="CY87">
            <v>13.734451132023599</v>
          </cell>
          <cell r="CZ87">
            <v>0</v>
          </cell>
          <cell r="DA87">
            <v>0</v>
          </cell>
          <cell r="DB87">
            <v>0</v>
          </cell>
          <cell r="DE87">
            <v>0</v>
          </cell>
          <cell r="DG87">
            <v>13.734451132023599</v>
          </cell>
          <cell r="DH87">
            <v>13.734451132023599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13.734451132023599</v>
          </cell>
          <cell r="DS87">
            <v>0</v>
          </cell>
          <cell r="DT87">
            <v>13.734451132023599</v>
          </cell>
          <cell r="DU87">
            <v>0</v>
          </cell>
          <cell r="DV87">
            <v>0</v>
          </cell>
          <cell r="DW87">
            <v>0</v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1</v>
          </cell>
          <cell r="FW87">
            <v>0</v>
          </cell>
          <cell r="FX87">
            <v>1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2018</v>
          </cell>
          <cell r="OM87">
            <v>2019</v>
          </cell>
          <cell r="ON87">
            <v>2020</v>
          </cell>
          <cell r="OO87">
            <v>2020</v>
          </cell>
          <cell r="OP87" t="str">
            <v>п</v>
          </cell>
          <cell r="OR87">
            <v>0</v>
          </cell>
          <cell r="OT87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b2b-mrsk.ru/" TargetMode="External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zoomScale="70" zoomScaleNormal="100" zoomScaleSheetLayoutView="70" workbookViewId="0">
      <selection activeCell="A6" sqref="A6"/>
    </sheetView>
  </sheetViews>
  <sheetFormatPr defaultRowHeight="15" x14ac:dyDescent="0.25"/>
  <cols>
    <col min="1" max="1" width="6.140625" style="66" customWidth="1"/>
    <col min="2" max="2" width="53.5703125" style="66" customWidth="1"/>
    <col min="3" max="3" width="91.42578125" style="66" customWidth="1"/>
    <col min="4" max="4" width="12" style="66" customWidth="1"/>
    <col min="5" max="5" width="14.42578125" style="66" customWidth="1"/>
    <col min="6" max="6" width="36.5703125" style="66" customWidth="1"/>
    <col min="7" max="7" width="20" style="66" customWidth="1"/>
    <col min="8" max="8" width="25.5703125" style="66" customWidth="1"/>
    <col min="9" max="9" width="16.42578125" style="66" customWidth="1"/>
    <col min="10" max="16384" width="9.140625" style="66"/>
  </cols>
  <sheetData>
    <row r="1" spans="1:22" s="2" customFormat="1" ht="18.75" customHeight="1" x14ac:dyDescent="0.2">
      <c r="A1" s="33"/>
      <c r="C1" s="34" t="s">
        <v>58</v>
      </c>
    </row>
    <row r="2" spans="1:22" s="2" customFormat="1" ht="18.75" customHeight="1" x14ac:dyDescent="0.3">
      <c r="A2" s="33"/>
      <c r="C2" s="35" t="s">
        <v>7</v>
      </c>
    </row>
    <row r="3" spans="1:22" s="2" customFormat="1" ht="18.75" x14ac:dyDescent="0.3">
      <c r="A3" s="36"/>
      <c r="C3" s="35" t="s">
        <v>57</v>
      </c>
    </row>
    <row r="4" spans="1:22" s="2" customFormat="1" ht="18.75" x14ac:dyDescent="0.3">
      <c r="A4" s="36"/>
      <c r="H4" s="35"/>
    </row>
    <row r="5" spans="1:22" s="2" customFormat="1" ht="15.75" x14ac:dyDescent="0.25">
      <c r="A5" s="224" t="s">
        <v>536</v>
      </c>
      <c r="B5" s="224"/>
      <c r="C5" s="224"/>
      <c r="D5" s="29"/>
      <c r="E5" s="29"/>
      <c r="F5" s="29"/>
      <c r="G5" s="29"/>
      <c r="H5" s="29"/>
      <c r="I5" s="29"/>
      <c r="J5" s="29"/>
    </row>
    <row r="6" spans="1:22" s="2" customFormat="1" ht="18.75" x14ac:dyDescent="0.3">
      <c r="A6" s="36"/>
      <c r="H6" s="35"/>
    </row>
    <row r="7" spans="1:22" s="2" customFormat="1" ht="18.75" x14ac:dyDescent="0.2">
      <c r="A7" s="228" t="s">
        <v>6</v>
      </c>
      <c r="B7" s="228"/>
      <c r="C7" s="228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2" customFormat="1" ht="18.75" x14ac:dyDescent="0.2">
      <c r="A8" s="79"/>
      <c r="B8" s="79"/>
      <c r="C8" s="79"/>
      <c r="D8" s="79"/>
      <c r="E8" s="79"/>
      <c r="F8" s="79"/>
      <c r="G8" s="79"/>
      <c r="H8" s="79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2" customFormat="1" ht="18.75" x14ac:dyDescent="0.2">
      <c r="A9" s="229" t="s">
        <v>289</v>
      </c>
      <c r="B9" s="229"/>
      <c r="C9" s="229"/>
      <c r="D9" s="85"/>
      <c r="E9" s="85"/>
      <c r="F9" s="85"/>
      <c r="G9" s="85"/>
      <c r="H9" s="85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2" customFormat="1" ht="18.75" x14ac:dyDescent="0.2">
      <c r="A10" s="230" t="s">
        <v>5</v>
      </c>
      <c r="B10" s="230"/>
      <c r="C10" s="230"/>
      <c r="D10" s="86"/>
      <c r="E10" s="86"/>
      <c r="F10" s="86"/>
      <c r="G10" s="86"/>
      <c r="H10" s="86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2" customFormat="1" ht="18.75" x14ac:dyDescent="0.2">
      <c r="A11" s="79"/>
      <c r="B11" s="79"/>
      <c r="C11" s="79"/>
      <c r="D11" s="79"/>
      <c r="E11" s="79"/>
      <c r="F11" s="79"/>
      <c r="G11" s="79"/>
      <c r="H11" s="79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2" customFormat="1" ht="18.75" x14ac:dyDescent="0.2">
      <c r="A12" s="229" t="s">
        <v>471</v>
      </c>
      <c r="B12" s="229"/>
      <c r="C12" s="229"/>
      <c r="D12" s="85"/>
      <c r="E12" s="85"/>
      <c r="F12" s="85"/>
      <c r="G12" s="85"/>
      <c r="H12" s="85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2" customFormat="1" ht="18.75" x14ac:dyDescent="0.2">
      <c r="A13" s="230" t="s">
        <v>4</v>
      </c>
      <c r="B13" s="230"/>
      <c r="C13" s="230"/>
      <c r="D13" s="86"/>
      <c r="E13" s="86"/>
      <c r="F13" s="86"/>
      <c r="G13" s="86"/>
      <c r="H13" s="86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50" customFormat="1" ht="15.75" customHeight="1" x14ac:dyDescent="0.2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</row>
    <row r="15" spans="1:22" s="51" customFormat="1" ht="53.25" customHeight="1" x14ac:dyDescent="0.2">
      <c r="A15" s="231" t="str">
        <f>VLOOKUP(A12,'[1]6.2. отчет'!$A:$C,3,0)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5" s="229"/>
      <c r="C15" s="229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</row>
    <row r="16" spans="1:22" s="51" customFormat="1" ht="15" customHeight="1" x14ac:dyDescent="0.2">
      <c r="A16" s="225" t="s">
        <v>3</v>
      </c>
      <c r="B16" s="225"/>
      <c r="C16" s="225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</row>
    <row r="17" spans="1:22" s="51" customFormat="1" ht="15" customHeight="1" x14ac:dyDescent="0.2">
      <c r="A17" s="87"/>
      <c r="B17" s="87"/>
      <c r="C17" s="87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</row>
    <row r="18" spans="1:22" s="51" customFormat="1" ht="15" customHeight="1" x14ac:dyDescent="0.2">
      <c r="A18" s="226" t="s">
        <v>281</v>
      </c>
      <c r="B18" s="227"/>
      <c r="C18" s="227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</row>
    <row r="19" spans="1:22" s="51" customFormat="1" ht="15" customHeight="1" x14ac:dyDescent="0.2">
      <c r="A19" s="89"/>
      <c r="B19" s="89"/>
      <c r="C19" s="89"/>
      <c r="D19" s="86"/>
      <c r="E19" s="86"/>
      <c r="F19" s="86"/>
      <c r="G19" s="86"/>
      <c r="H19" s="86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</row>
    <row r="20" spans="1:22" s="51" customFormat="1" ht="39.75" customHeight="1" x14ac:dyDescent="0.2">
      <c r="A20" s="90" t="s">
        <v>2</v>
      </c>
      <c r="B20" s="91" t="s">
        <v>56</v>
      </c>
      <c r="C20" s="92" t="s">
        <v>55</v>
      </c>
      <c r="D20" s="93"/>
      <c r="E20" s="93"/>
      <c r="F20" s="93"/>
      <c r="G20" s="93"/>
      <c r="H20" s="93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94"/>
      <c r="U20" s="94"/>
      <c r="V20" s="94"/>
    </row>
    <row r="21" spans="1:22" s="51" customFormat="1" ht="16.5" customHeight="1" x14ac:dyDescent="0.2">
      <c r="A21" s="92">
        <v>1</v>
      </c>
      <c r="B21" s="91">
        <v>2</v>
      </c>
      <c r="C21" s="92">
        <v>3</v>
      </c>
      <c r="D21" s="93"/>
      <c r="E21" s="93"/>
      <c r="F21" s="93"/>
      <c r="G21" s="93"/>
      <c r="H21" s="93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94"/>
      <c r="U21" s="94"/>
      <c r="V21" s="94"/>
    </row>
    <row r="22" spans="1:22" s="51" customFormat="1" ht="39" customHeight="1" x14ac:dyDescent="0.2">
      <c r="A22" s="72" t="s">
        <v>54</v>
      </c>
      <c r="B22" s="95" t="s">
        <v>172</v>
      </c>
      <c r="C22" s="74" t="s">
        <v>518</v>
      </c>
      <c r="D22" s="93"/>
      <c r="E22" s="93"/>
      <c r="F22" s="93"/>
      <c r="G22" s="93"/>
      <c r="H22" s="93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94"/>
      <c r="U22" s="94"/>
      <c r="V22" s="94"/>
    </row>
    <row r="23" spans="1:22" s="51" customFormat="1" ht="54.75" customHeight="1" x14ac:dyDescent="0.2">
      <c r="A23" s="72" t="s">
        <v>53</v>
      </c>
      <c r="B23" s="73" t="s">
        <v>496</v>
      </c>
      <c r="C23" s="74" t="s">
        <v>519</v>
      </c>
      <c r="D23" s="93"/>
      <c r="E23" s="93"/>
      <c r="F23" s="93"/>
      <c r="G23" s="93"/>
      <c r="H23" s="93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94"/>
      <c r="U23" s="94"/>
      <c r="V23" s="94"/>
    </row>
    <row r="24" spans="1:22" s="51" customFormat="1" ht="22.5" customHeight="1" x14ac:dyDescent="0.2">
      <c r="A24" s="221"/>
      <c r="B24" s="222"/>
      <c r="C24" s="223"/>
      <c r="D24" s="93"/>
      <c r="E24" s="93"/>
      <c r="F24" s="93"/>
      <c r="G24" s="93"/>
      <c r="H24" s="93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94"/>
      <c r="U24" s="94"/>
      <c r="V24" s="94"/>
    </row>
    <row r="25" spans="1:22" s="51" customFormat="1" ht="58.5" customHeight="1" x14ac:dyDescent="0.2">
      <c r="A25" s="72" t="s">
        <v>52</v>
      </c>
      <c r="B25" s="74" t="s">
        <v>254</v>
      </c>
      <c r="C25" s="90" t="s">
        <v>520</v>
      </c>
      <c r="D25" s="93"/>
      <c r="E25" s="93"/>
      <c r="F25" s="93"/>
      <c r="G25" s="93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94"/>
      <c r="T25" s="94"/>
      <c r="U25" s="94"/>
      <c r="V25" s="94"/>
    </row>
    <row r="26" spans="1:22" s="51" customFormat="1" ht="42.75" customHeight="1" x14ac:dyDescent="0.2">
      <c r="A26" s="72" t="s">
        <v>51</v>
      </c>
      <c r="B26" s="74" t="s">
        <v>64</v>
      </c>
      <c r="C26" s="90" t="s">
        <v>521</v>
      </c>
      <c r="D26" s="93"/>
      <c r="E26" s="93"/>
      <c r="F26" s="93"/>
      <c r="G26" s="93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94"/>
      <c r="T26" s="94"/>
      <c r="U26" s="94"/>
      <c r="V26" s="94"/>
    </row>
    <row r="27" spans="1:22" s="51" customFormat="1" ht="51.75" customHeight="1" x14ac:dyDescent="0.2">
      <c r="A27" s="72" t="s">
        <v>49</v>
      </c>
      <c r="B27" s="74" t="s">
        <v>63</v>
      </c>
      <c r="C27" s="90" t="s">
        <v>522</v>
      </c>
      <c r="D27" s="93"/>
      <c r="E27" s="93"/>
      <c r="F27" s="93"/>
      <c r="G27" s="93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94"/>
      <c r="T27" s="94"/>
      <c r="U27" s="94"/>
      <c r="V27" s="94"/>
    </row>
    <row r="28" spans="1:22" s="51" customFormat="1" ht="42.75" customHeight="1" x14ac:dyDescent="0.2">
      <c r="A28" s="72" t="s">
        <v>48</v>
      </c>
      <c r="B28" s="74" t="s">
        <v>255</v>
      </c>
      <c r="C28" s="90" t="s">
        <v>290</v>
      </c>
      <c r="D28" s="93"/>
      <c r="E28" s="93"/>
      <c r="F28" s="93"/>
      <c r="G28" s="93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94"/>
      <c r="T28" s="94"/>
      <c r="U28" s="94"/>
      <c r="V28" s="94"/>
    </row>
    <row r="29" spans="1:22" s="51" customFormat="1" ht="51.75" customHeight="1" x14ac:dyDescent="0.2">
      <c r="A29" s="72" t="s">
        <v>46</v>
      </c>
      <c r="B29" s="74" t="s">
        <v>256</v>
      </c>
      <c r="C29" s="90" t="s">
        <v>290</v>
      </c>
      <c r="D29" s="93"/>
      <c r="E29" s="93"/>
      <c r="F29" s="93"/>
      <c r="G29" s="93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94"/>
      <c r="T29" s="94"/>
      <c r="U29" s="94"/>
      <c r="V29" s="94"/>
    </row>
    <row r="30" spans="1:22" s="51" customFormat="1" ht="51.75" customHeight="1" x14ac:dyDescent="0.2">
      <c r="A30" s="72" t="s">
        <v>44</v>
      </c>
      <c r="B30" s="74" t="s">
        <v>257</v>
      </c>
      <c r="C30" s="90" t="s">
        <v>290</v>
      </c>
      <c r="D30" s="93"/>
      <c r="E30" s="93"/>
      <c r="F30" s="93"/>
      <c r="G30" s="93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94"/>
      <c r="T30" s="94"/>
      <c r="U30" s="94"/>
      <c r="V30" s="94"/>
    </row>
    <row r="31" spans="1:22" s="51" customFormat="1" ht="51.75" customHeight="1" x14ac:dyDescent="0.2">
      <c r="A31" s="72" t="s">
        <v>62</v>
      </c>
      <c r="B31" s="74" t="s">
        <v>258</v>
      </c>
      <c r="C31" s="90" t="s">
        <v>523</v>
      </c>
      <c r="D31" s="93"/>
      <c r="E31" s="93"/>
      <c r="F31" s="93"/>
      <c r="G31" s="93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94"/>
      <c r="T31" s="94"/>
      <c r="U31" s="94"/>
      <c r="V31" s="94"/>
    </row>
    <row r="32" spans="1:22" s="51" customFormat="1" ht="51.75" customHeight="1" x14ac:dyDescent="0.2">
      <c r="A32" s="72" t="s">
        <v>60</v>
      </c>
      <c r="B32" s="74" t="s">
        <v>259</v>
      </c>
      <c r="C32" s="90" t="s">
        <v>523</v>
      </c>
      <c r="D32" s="93"/>
      <c r="E32" s="93"/>
      <c r="F32" s="93"/>
      <c r="G32" s="93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94"/>
      <c r="T32" s="94"/>
      <c r="U32" s="94"/>
      <c r="V32" s="94"/>
    </row>
    <row r="33" spans="1:22" s="51" customFormat="1" ht="101.25" customHeight="1" x14ac:dyDescent="0.2">
      <c r="A33" s="72" t="s">
        <v>59</v>
      </c>
      <c r="B33" s="74" t="s">
        <v>260</v>
      </c>
      <c r="C33" s="90" t="s">
        <v>524</v>
      </c>
      <c r="D33" s="93"/>
      <c r="E33" s="93"/>
      <c r="F33" s="93"/>
      <c r="G33" s="93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94"/>
      <c r="T33" s="94"/>
      <c r="U33" s="94"/>
      <c r="V33" s="94"/>
    </row>
    <row r="34" spans="1:22" ht="111" customHeight="1" x14ac:dyDescent="0.25">
      <c r="A34" s="72" t="s">
        <v>269</v>
      </c>
      <c r="B34" s="74" t="s">
        <v>261</v>
      </c>
      <c r="C34" s="90" t="s">
        <v>290</v>
      </c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</row>
    <row r="35" spans="1:22" ht="58.5" customHeight="1" x14ac:dyDescent="0.25">
      <c r="A35" s="72" t="s">
        <v>264</v>
      </c>
      <c r="B35" s="74" t="s">
        <v>61</v>
      </c>
      <c r="C35" s="90" t="s">
        <v>290</v>
      </c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</row>
    <row r="36" spans="1:22" ht="51.75" customHeight="1" x14ac:dyDescent="0.25">
      <c r="A36" s="72" t="s">
        <v>270</v>
      </c>
      <c r="B36" s="74" t="s">
        <v>262</v>
      </c>
      <c r="C36" s="90" t="s">
        <v>523</v>
      </c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</row>
    <row r="37" spans="1:22" ht="43.5" customHeight="1" x14ac:dyDescent="0.25">
      <c r="A37" s="72" t="s">
        <v>265</v>
      </c>
      <c r="B37" s="74" t="s">
        <v>263</v>
      </c>
      <c r="C37" s="90" t="s">
        <v>523</v>
      </c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</row>
    <row r="38" spans="1:22" ht="43.5" customHeight="1" x14ac:dyDescent="0.25">
      <c r="A38" s="72" t="s">
        <v>271</v>
      </c>
      <c r="B38" s="74" t="s">
        <v>168</v>
      </c>
      <c r="C38" s="90" t="s">
        <v>523</v>
      </c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</row>
    <row r="39" spans="1:22" ht="23.25" customHeight="1" x14ac:dyDescent="0.25">
      <c r="A39" s="221"/>
      <c r="B39" s="222"/>
      <c r="C39" s="223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</row>
    <row r="40" spans="1:22" ht="63" x14ac:dyDescent="0.25">
      <c r="A40" s="72" t="s">
        <v>266</v>
      </c>
      <c r="B40" s="74" t="s">
        <v>495</v>
      </c>
      <c r="C40" s="90" t="s">
        <v>525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</row>
    <row r="41" spans="1:22" ht="94.5" x14ac:dyDescent="0.25">
      <c r="A41" s="40" t="s">
        <v>272</v>
      </c>
      <c r="B41" s="28" t="s">
        <v>327</v>
      </c>
      <c r="C41" s="90" t="s">
        <v>290</v>
      </c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</row>
    <row r="42" spans="1:22" ht="63" x14ac:dyDescent="0.25">
      <c r="A42" s="40" t="s">
        <v>267</v>
      </c>
      <c r="B42" s="28" t="s">
        <v>328</v>
      </c>
      <c r="C42" s="90" t="s">
        <v>526</v>
      </c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</row>
    <row r="43" spans="1:22" ht="179.25" customHeight="1" x14ac:dyDescent="0.25">
      <c r="A43" s="40" t="s">
        <v>274</v>
      </c>
      <c r="B43" s="28" t="s">
        <v>329</v>
      </c>
      <c r="C43" s="90" t="s">
        <v>290</v>
      </c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</row>
    <row r="44" spans="1:22" ht="95.25" customHeight="1" x14ac:dyDescent="0.25">
      <c r="A44" s="40" t="s">
        <v>268</v>
      </c>
      <c r="B44" s="28" t="s">
        <v>330</v>
      </c>
      <c r="C44" s="90" t="s">
        <v>290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</row>
    <row r="45" spans="1:22" ht="82.5" customHeight="1" x14ac:dyDescent="0.25">
      <c r="A45" s="40" t="s">
        <v>331</v>
      </c>
      <c r="B45" s="28" t="s">
        <v>332</v>
      </c>
      <c r="C45" s="90" t="s">
        <v>290</v>
      </c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</row>
    <row r="46" spans="1:22" ht="95.25" customHeight="1" x14ac:dyDescent="0.25">
      <c r="A46" s="40" t="s">
        <v>333</v>
      </c>
      <c r="B46" s="28" t="s">
        <v>282</v>
      </c>
      <c r="C46" s="90" t="s">
        <v>527</v>
      </c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</row>
    <row r="47" spans="1:22" ht="22.5" customHeight="1" x14ac:dyDescent="0.25">
      <c r="A47" s="40"/>
      <c r="B47" s="28"/>
      <c r="C47" s="41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</row>
    <row r="48" spans="1:22" ht="75.75" customHeight="1" x14ac:dyDescent="0.25">
      <c r="A48" s="40" t="s">
        <v>469</v>
      </c>
      <c r="B48" s="28" t="s">
        <v>286</v>
      </c>
      <c r="C48" s="96">
        <f>'6.2. Паспорт фин осв ввод'!D24</f>
        <v>349.75487930600002</v>
      </c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</row>
    <row r="49" spans="1:22" ht="71.25" customHeight="1" x14ac:dyDescent="0.25">
      <c r="A49" s="40" t="s">
        <v>470</v>
      </c>
      <c r="B49" s="28" t="s">
        <v>287</v>
      </c>
      <c r="C49" s="96">
        <f>'6.2. Паспорт фин осв ввод'!D30</f>
        <v>296.68639800000005</v>
      </c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</row>
    <row r="50" spans="1:22" x14ac:dyDescent="0.25">
      <c r="A50" s="97"/>
      <c r="B50" s="97"/>
      <c r="C50" s="97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</row>
    <row r="51" spans="1:22" x14ac:dyDescent="0.25">
      <c r="A51" s="97"/>
      <c r="B51" s="97"/>
      <c r="C51" s="97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</row>
    <row r="52" spans="1:22" x14ac:dyDescent="0.25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</row>
    <row r="53" spans="1:22" x14ac:dyDescent="0.25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</row>
    <row r="54" spans="1:22" x14ac:dyDescent="0.25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</row>
    <row r="55" spans="1:22" x14ac:dyDescent="0.25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</row>
    <row r="56" spans="1:22" x14ac:dyDescent="0.25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</row>
    <row r="57" spans="1:22" x14ac:dyDescent="0.25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</row>
    <row r="58" spans="1:22" x14ac:dyDescent="0.25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</row>
    <row r="59" spans="1:22" x14ac:dyDescent="0.25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</row>
    <row r="60" spans="1:22" x14ac:dyDescent="0.25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</row>
    <row r="61" spans="1:22" x14ac:dyDescent="0.25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</row>
    <row r="62" spans="1:22" x14ac:dyDescent="0.25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</row>
    <row r="63" spans="1:22" x14ac:dyDescent="0.25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</row>
    <row r="64" spans="1:22" x14ac:dyDescent="0.25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</row>
    <row r="65" spans="1:22" x14ac:dyDescent="0.25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</row>
    <row r="66" spans="1:22" x14ac:dyDescent="0.25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</row>
    <row r="67" spans="1:22" x14ac:dyDescent="0.25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</row>
    <row r="68" spans="1:22" x14ac:dyDescent="0.25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</row>
    <row r="69" spans="1:22" x14ac:dyDescent="0.25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</row>
    <row r="70" spans="1:22" x14ac:dyDescent="0.25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</row>
    <row r="71" spans="1:22" x14ac:dyDescent="0.25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</row>
    <row r="72" spans="1:22" x14ac:dyDescent="0.25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</row>
    <row r="73" spans="1:22" x14ac:dyDescent="0.25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</row>
    <row r="74" spans="1:22" x14ac:dyDescent="0.25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</row>
    <row r="75" spans="1:22" x14ac:dyDescent="0.25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</row>
    <row r="76" spans="1:22" x14ac:dyDescent="0.25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</row>
    <row r="77" spans="1:22" x14ac:dyDescent="0.25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</row>
    <row r="78" spans="1:22" x14ac:dyDescent="0.25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</row>
    <row r="79" spans="1:22" x14ac:dyDescent="0.25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</row>
    <row r="80" spans="1:22" x14ac:dyDescent="0.25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</row>
    <row r="81" spans="1:22" x14ac:dyDescent="0.25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</row>
    <row r="82" spans="1:22" x14ac:dyDescent="0.25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</row>
    <row r="83" spans="1:22" x14ac:dyDescent="0.25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</row>
    <row r="84" spans="1:22" x14ac:dyDescent="0.25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</row>
    <row r="85" spans="1:22" x14ac:dyDescent="0.2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</row>
    <row r="86" spans="1:22" x14ac:dyDescent="0.25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</row>
    <row r="87" spans="1:22" x14ac:dyDescent="0.25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</row>
    <row r="88" spans="1:22" x14ac:dyDescent="0.25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</row>
    <row r="89" spans="1:22" x14ac:dyDescent="0.25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</row>
    <row r="90" spans="1:22" x14ac:dyDescent="0.25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</row>
    <row r="91" spans="1:22" x14ac:dyDescent="0.25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</row>
    <row r="92" spans="1:22" x14ac:dyDescent="0.25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</row>
    <row r="93" spans="1:22" x14ac:dyDescent="0.25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</row>
    <row r="94" spans="1:22" x14ac:dyDescent="0.25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</row>
    <row r="95" spans="1:22" x14ac:dyDescent="0.25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</row>
    <row r="96" spans="1:22" x14ac:dyDescent="0.25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</row>
    <row r="97" spans="1:22" x14ac:dyDescent="0.25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</row>
    <row r="98" spans="1:22" x14ac:dyDescent="0.25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</row>
    <row r="99" spans="1:22" x14ac:dyDescent="0.25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</row>
    <row r="100" spans="1:22" x14ac:dyDescent="0.25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</row>
    <row r="101" spans="1:22" x14ac:dyDescent="0.25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</row>
    <row r="102" spans="1:22" x14ac:dyDescent="0.25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</row>
    <row r="103" spans="1:22" x14ac:dyDescent="0.25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</row>
    <row r="104" spans="1:22" x14ac:dyDescent="0.25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</row>
    <row r="105" spans="1:22" x14ac:dyDescent="0.25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</row>
    <row r="106" spans="1:22" x14ac:dyDescent="0.25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</row>
    <row r="107" spans="1:22" x14ac:dyDescent="0.25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</row>
    <row r="108" spans="1:22" x14ac:dyDescent="0.25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</row>
    <row r="109" spans="1:22" x14ac:dyDescent="0.25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</row>
    <row r="110" spans="1:22" x14ac:dyDescent="0.25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</row>
    <row r="111" spans="1:22" x14ac:dyDescent="0.25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</row>
    <row r="112" spans="1:22" x14ac:dyDescent="0.25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</row>
    <row r="113" spans="1:22" x14ac:dyDescent="0.25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</row>
    <row r="114" spans="1:22" x14ac:dyDescent="0.25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</row>
    <row r="115" spans="1:22" x14ac:dyDescent="0.25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</row>
    <row r="116" spans="1:22" x14ac:dyDescent="0.25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</row>
    <row r="117" spans="1:22" x14ac:dyDescent="0.25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</row>
    <row r="118" spans="1:22" x14ac:dyDescent="0.25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</row>
    <row r="119" spans="1:22" x14ac:dyDescent="0.25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</row>
    <row r="120" spans="1:22" x14ac:dyDescent="0.25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</row>
    <row r="121" spans="1:22" x14ac:dyDescent="0.25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</row>
    <row r="122" spans="1:22" x14ac:dyDescent="0.25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</row>
    <row r="123" spans="1:22" x14ac:dyDescent="0.25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</row>
    <row r="124" spans="1:22" x14ac:dyDescent="0.25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</row>
    <row r="125" spans="1:22" x14ac:dyDescent="0.25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</row>
    <row r="126" spans="1:22" x14ac:dyDescent="0.25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</row>
    <row r="127" spans="1:22" x14ac:dyDescent="0.25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</row>
    <row r="128" spans="1:22" x14ac:dyDescent="0.25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</row>
    <row r="129" spans="1:22" x14ac:dyDescent="0.25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</row>
    <row r="130" spans="1:22" x14ac:dyDescent="0.25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</row>
    <row r="131" spans="1:22" x14ac:dyDescent="0.25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</row>
    <row r="132" spans="1:22" x14ac:dyDescent="0.25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</row>
    <row r="133" spans="1:22" x14ac:dyDescent="0.25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</row>
    <row r="134" spans="1:22" x14ac:dyDescent="0.25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</row>
    <row r="135" spans="1:22" x14ac:dyDescent="0.25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</row>
    <row r="136" spans="1:22" x14ac:dyDescent="0.25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</row>
    <row r="137" spans="1:22" x14ac:dyDescent="0.25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</row>
    <row r="138" spans="1:22" x14ac:dyDescent="0.25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</row>
    <row r="139" spans="1:22" x14ac:dyDescent="0.25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</row>
    <row r="140" spans="1:22" x14ac:dyDescent="0.25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</row>
    <row r="141" spans="1:22" x14ac:dyDescent="0.25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</row>
    <row r="142" spans="1:22" x14ac:dyDescent="0.25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</row>
    <row r="143" spans="1:22" x14ac:dyDescent="0.25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</row>
    <row r="144" spans="1:22" x14ac:dyDescent="0.25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</row>
    <row r="145" spans="1:22" x14ac:dyDescent="0.2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</row>
    <row r="146" spans="1:22" x14ac:dyDescent="0.25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</row>
    <row r="147" spans="1:22" x14ac:dyDescent="0.25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</row>
    <row r="148" spans="1:22" x14ac:dyDescent="0.25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</row>
    <row r="149" spans="1:22" x14ac:dyDescent="0.25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</row>
    <row r="150" spans="1:22" x14ac:dyDescent="0.25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</row>
    <row r="151" spans="1:22" x14ac:dyDescent="0.25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</row>
    <row r="152" spans="1:22" x14ac:dyDescent="0.25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</row>
    <row r="153" spans="1:22" x14ac:dyDescent="0.25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</row>
    <row r="154" spans="1:22" x14ac:dyDescent="0.25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</row>
    <row r="155" spans="1:22" x14ac:dyDescent="0.25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</row>
    <row r="156" spans="1:22" x14ac:dyDescent="0.25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</row>
    <row r="157" spans="1:22" x14ac:dyDescent="0.25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</row>
    <row r="158" spans="1:22" x14ac:dyDescent="0.25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</row>
    <row r="159" spans="1:22" x14ac:dyDescent="0.25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</row>
    <row r="160" spans="1:22" x14ac:dyDescent="0.25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</row>
    <row r="161" spans="1:22" x14ac:dyDescent="0.25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</row>
    <row r="162" spans="1:22" x14ac:dyDescent="0.25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</row>
    <row r="163" spans="1:22" x14ac:dyDescent="0.25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</row>
    <row r="164" spans="1:22" x14ac:dyDescent="0.25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</row>
    <row r="165" spans="1:22" x14ac:dyDescent="0.25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</row>
    <row r="166" spans="1:22" x14ac:dyDescent="0.25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</row>
    <row r="167" spans="1:22" x14ac:dyDescent="0.25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</row>
    <row r="168" spans="1:22" x14ac:dyDescent="0.25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</row>
    <row r="169" spans="1:22" x14ac:dyDescent="0.25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</row>
    <row r="170" spans="1:22" x14ac:dyDescent="0.25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</row>
    <row r="171" spans="1:22" x14ac:dyDescent="0.25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</row>
    <row r="172" spans="1:22" x14ac:dyDescent="0.25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</row>
    <row r="173" spans="1:22" x14ac:dyDescent="0.25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</row>
    <row r="174" spans="1:22" x14ac:dyDescent="0.25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</row>
    <row r="175" spans="1:22" x14ac:dyDescent="0.25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</row>
    <row r="176" spans="1:22" x14ac:dyDescent="0.25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</row>
    <row r="177" spans="1:22" x14ac:dyDescent="0.25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</row>
    <row r="178" spans="1:22" x14ac:dyDescent="0.25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</row>
    <row r="179" spans="1:22" x14ac:dyDescent="0.25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</row>
    <row r="180" spans="1:22" x14ac:dyDescent="0.25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</row>
    <row r="181" spans="1:22" x14ac:dyDescent="0.25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</row>
    <row r="182" spans="1:22" x14ac:dyDescent="0.25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</row>
    <row r="183" spans="1:22" x14ac:dyDescent="0.25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</row>
    <row r="184" spans="1:22" x14ac:dyDescent="0.25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</row>
    <row r="185" spans="1:22" x14ac:dyDescent="0.25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</row>
    <row r="186" spans="1:22" x14ac:dyDescent="0.25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</row>
    <row r="187" spans="1:22" x14ac:dyDescent="0.25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</row>
    <row r="188" spans="1:22" x14ac:dyDescent="0.25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</row>
    <row r="189" spans="1:22" x14ac:dyDescent="0.25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</row>
    <row r="190" spans="1:22" x14ac:dyDescent="0.25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</row>
    <row r="191" spans="1:22" x14ac:dyDescent="0.25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</row>
    <row r="192" spans="1:22" x14ac:dyDescent="0.25">
      <c r="A192" s="65"/>
      <c r="B192" s="65"/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</row>
    <row r="193" spans="1:22" x14ac:dyDescent="0.25">
      <c r="A193" s="65"/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</row>
    <row r="194" spans="1:22" x14ac:dyDescent="0.25">
      <c r="A194" s="65"/>
      <c r="B194" s="65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</row>
    <row r="195" spans="1:22" x14ac:dyDescent="0.25">
      <c r="A195" s="65"/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</row>
    <row r="196" spans="1:22" x14ac:dyDescent="0.25">
      <c r="A196" s="65"/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</row>
    <row r="197" spans="1:22" x14ac:dyDescent="0.25">
      <c r="A197" s="65"/>
      <c r="B197" s="65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</row>
    <row r="198" spans="1:22" x14ac:dyDescent="0.25">
      <c r="A198" s="65"/>
      <c r="B198" s="65"/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</row>
    <row r="199" spans="1:22" x14ac:dyDescent="0.25">
      <c r="A199" s="65"/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</row>
    <row r="200" spans="1:22" x14ac:dyDescent="0.25">
      <c r="A200" s="65"/>
      <c r="B200" s="65"/>
      <c r="C200" s="65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</row>
    <row r="201" spans="1:22" x14ac:dyDescent="0.25">
      <c r="A201" s="65"/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</row>
    <row r="202" spans="1:22" x14ac:dyDescent="0.25">
      <c r="A202" s="65"/>
      <c r="B202" s="65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</row>
    <row r="203" spans="1:22" x14ac:dyDescent="0.25">
      <c r="A203" s="65"/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5"/>
    </row>
    <row r="204" spans="1:22" x14ac:dyDescent="0.25">
      <c r="A204" s="65"/>
      <c r="B204" s="65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</row>
    <row r="205" spans="1:22" x14ac:dyDescent="0.25">
      <c r="A205" s="65"/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</row>
    <row r="206" spans="1:22" x14ac:dyDescent="0.25">
      <c r="A206" s="65"/>
      <c r="B206" s="65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</row>
    <row r="207" spans="1:22" x14ac:dyDescent="0.25">
      <c r="A207" s="65"/>
      <c r="B207" s="65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</row>
    <row r="208" spans="1:22" x14ac:dyDescent="0.25">
      <c r="A208" s="65"/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</row>
    <row r="209" spans="1:22" x14ac:dyDescent="0.25">
      <c r="A209" s="65"/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</row>
    <row r="210" spans="1:22" x14ac:dyDescent="0.25">
      <c r="A210" s="65"/>
      <c r="B210" s="65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</row>
    <row r="211" spans="1:22" x14ac:dyDescent="0.25">
      <c r="A211" s="65"/>
      <c r="B211" s="65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</row>
    <row r="212" spans="1:22" x14ac:dyDescent="0.25">
      <c r="A212" s="65"/>
      <c r="B212" s="65"/>
      <c r="C212" s="65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</row>
    <row r="213" spans="1:22" x14ac:dyDescent="0.25">
      <c r="A213" s="65"/>
      <c r="B213" s="65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</row>
    <row r="214" spans="1:22" x14ac:dyDescent="0.25">
      <c r="A214" s="65"/>
      <c r="B214" s="65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</row>
    <row r="215" spans="1:22" x14ac:dyDescent="0.25">
      <c r="A215" s="65"/>
      <c r="B215" s="65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</row>
    <row r="216" spans="1:22" x14ac:dyDescent="0.25">
      <c r="A216" s="65"/>
      <c r="B216" s="65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</row>
    <row r="217" spans="1:22" x14ac:dyDescent="0.25">
      <c r="A217" s="65"/>
      <c r="B217" s="65"/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</row>
    <row r="218" spans="1:22" x14ac:dyDescent="0.25">
      <c r="A218" s="65"/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</row>
    <row r="219" spans="1:22" x14ac:dyDescent="0.25">
      <c r="A219" s="65"/>
      <c r="B219" s="65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</row>
    <row r="220" spans="1:22" x14ac:dyDescent="0.25">
      <c r="A220" s="65"/>
      <c r="B220" s="65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</row>
    <row r="221" spans="1:22" x14ac:dyDescent="0.25">
      <c r="A221" s="65"/>
      <c r="B221" s="65"/>
      <c r="C221" s="65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  <c r="U221" s="65"/>
      <c r="V221" s="65"/>
    </row>
    <row r="222" spans="1:22" x14ac:dyDescent="0.25">
      <c r="A222" s="65"/>
      <c r="B222" s="65"/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5"/>
      <c r="V222" s="65"/>
    </row>
    <row r="223" spans="1:22" x14ac:dyDescent="0.25">
      <c r="A223" s="65"/>
      <c r="B223" s="65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  <c r="V223" s="65"/>
    </row>
    <row r="224" spans="1:22" x14ac:dyDescent="0.25">
      <c r="A224" s="65"/>
      <c r="B224" s="65"/>
      <c r="C224" s="65"/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65"/>
      <c r="U224" s="65"/>
      <c r="V224" s="65"/>
    </row>
    <row r="225" spans="1:22" x14ac:dyDescent="0.25">
      <c r="A225" s="65"/>
      <c r="B225" s="65"/>
      <c r="C225" s="65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  <c r="V225" s="65"/>
    </row>
    <row r="226" spans="1:22" x14ac:dyDescent="0.25">
      <c r="A226" s="65"/>
      <c r="B226" s="65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</row>
    <row r="227" spans="1:22" x14ac:dyDescent="0.25">
      <c r="A227" s="65"/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  <c r="U227" s="65"/>
      <c r="V227" s="65"/>
    </row>
    <row r="228" spans="1:22" x14ac:dyDescent="0.25">
      <c r="A228" s="65"/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</row>
    <row r="229" spans="1:22" x14ac:dyDescent="0.25">
      <c r="A229" s="65"/>
      <c r="B229" s="65"/>
      <c r="C229" s="65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  <c r="V229" s="65"/>
    </row>
    <row r="230" spans="1:22" x14ac:dyDescent="0.25">
      <c r="A230" s="65"/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  <c r="V230" s="65"/>
    </row>
    <row r="231" spans="1:22" x14ac:dyDescent="0.25">
      <c r="A231" s="65"/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</row>
    <row r="232" spans="1:22" x14ac:dyDescent="0.25">
      <c r="A232" s="65"/>
      <c r="B232" s="65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  <c r="V232" s="65"/>
    </row>
    <row r="233" spans="1:22" x14ac:dyDescent="0.25">
      <c r="A233" s="65"/>
      <c r="B233" s="65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</row>
    <row r="234" spans="1:22" x14ac:dyDescent="0.25">
      <c r="A234" s="65"/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  <c r="U234" s="65"/>
      <c r="V234" s="65"/>
    </row>
    <row r="235" spans="1:22" x14ac:dyDescent="0.25">
      <c r="A235" s="65"/>
      <c r="B235" s="65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/>
      <c r="T235" s="65"/>
      <c r="U235" s="65"/>
      <c r="V235" s="65"/>
    </row>
    <row r="236" spans="1:22" x14ac:dyDescent="0.25">
      <c r="A236" s="65"/>
      <c r="B236" s="65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/>
      <c r="T236" s="65"/>
      <c r="U236" s="65"/>
      <c r="V236" s="65"/>
    </row>
    <row r="237" spans="1:22" x14ac:dyDescent="0.25">
      <c r="A237" s="65"/>
      <c r="B237" s="65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/>
      <c r="T237" s="65"/>
      <c r="U237" s="65"/>
      <c r="V237" s="65"/>
    </row>
    <row r="238" spans="1:22" x14ac:dyDescent="0.25">
      <c r="A238" s="65"/>
      <c r="B238" s="65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/>
      <c r="T238" s="65"/>
      <c r="U238" s="65"/>
      <c r="V238" s="65"/>
    </row>
    <row r="239" spans="1:22" x14ac:dyDescent="0.25">
      <c r="A239" s="65"/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  <c r="T239" s="65"/>
      <c r="U239" s="65"/>
      <c r="V239" s="65"/>
    </row>
    <row r="240" spans="1:22" x14ac:dyDescent="0.25">
      <c r="A240" s="65"/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  <c r="U240" s="65"/>
      <c r="V240" s="65"/>
    </row>
    <row r="241" spans="1:22" x14ac:dyDescent="0.25">
      <c r="A241" s="65"/>
      <c r="B241" s="65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/>
      <c r="T241" s="65"/>
      <c r="U241" s="65"/>
      <c r="V241" s="65"/>
    </row>
    <row r="242" spans="1:22" x14ac:dyDescent="0.25">
      <c r="A242" s="65"/>
      <c r="B242" s="65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/>
      <c r="T242" s="65"/>
      <c r="U242" s="65"/>
      <c r="V242" s="65"/>
    </row>
    <row r="243" spans="1:22" x14ac:dyDescent="0.25">
      <c r="A243" s="65"/>
      <c r="B243" s="65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/>
      <c r="T243" s="65"/>
      <c r="U243" s="65"/>
      <c r="V243" s="65"/>
    </row>
    <row r="244" spans="1:22" x14ac:dyDescent="0.25">
      <c r="A244" s="65"/>
      <c r="B244" s="65"/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  <c r="T244" s="65"/>
      <c r="U244" s="65"/>
      <c r="V244" s="65"/>
    </row>
    <row r="245" spans="1:22" x14ac:dyDescent="0.25">
      <c r="A245" s="65"/>
      <c r="B245" s="65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/>
      <c r="T245" s="65"/>
      <c r="U245" s="65"/>
      <c r="V245" s="65"/>
    </row>
    <row r="246" spans="1:22" x14ac:dyDescent="0.25">
      <c r="A246" s="65"/>
      <c r="B246" s="65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  <c r="T246" s="65"/>
      <c r="U246" s="65"/>
      <c r="V246" s="65"/>
    </row>
    <row r="247" spans="1:22" x14ac:dyDescent="0.25">
      <c r="A247" s="65"/>
      <c r="B247" s="65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/>
      <c r="T247" s="65"/>
      <c r="U247" s="65"/>
      <c r="V247" s="65"/>
    </row>
    <row r="248" spans="1:22" x14ac:dyDescent="0.25">
      <c r="A248" s="65"/>
      <c r="B248" s="65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/>
      <c r="T248" s="65"/>
      <c r="U248" s="65"/>
      <c r="V248" s="65"/>
    </row>
    <row r="249" spans="1:22" x14ac:dyDescent="0.25">
      <c r="A249" s="65"/>
      <c r="B249" s="65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/>
      <c r="T249" s="65"/>
      <c r="U249" s="65"/>
      <c r="V249" s="65"/>
    </row>
    <row r="250" spans="1:22" x14ac:dyDescent="0.25">
      <c r="A250" s="65"/>
      <c r="B250" s="65"/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  <c r="U250" s="65"/>
      <c r="V250" s="65"/>
    </row>
    <row r="251" spans="1:22" x14ac:dyDescent="0.25">
      <c r="A251" s="65"/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  <c r="U251" s="65"/>
      <c r="V251" s="65"/>
    </row>
    <row r="252" spans="1:22" x14ac:dyDescent="0.25">
      <c r="A252" s="65"/>
      <c r="B252" s="65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  <c r="U252" s="65"/>
      <c r="V252" s="65"/>
    </row>
    <row r="253" spans="1:22" x14ac:dyDescent="0.25">
      <c r="A253" s="65"/>
      <c r="B253" s="65"/>
      <c r="C253" s="65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  <c r="T253" s="65"/>
      <c r="U253" s="65"/>
      <c r="V253" s="65"/>
    </row>
    <row r="254" spans="1:22" x14ac:dyDescent="0.25">
      <c r="A254" s="65"/>
      <c r="B254" s="65"/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  <c r="T254" s="65"/>
      <c r="U254" s="65"/>
      <c r="V254" s="65"/>
    </row>
    <row r="255" spans="1:22" x14ac:dyDescent="0.25">
      <c r="A255" s="65"/>
      <c r="B255" s="65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/>
      <c r="T255" s="65"/>
      <c r="U255" s="65"/>
      <c r="V255" s="65"/>
    </row>
    <row r="256" spans="1:22" x14ac:dyDescent="0.25">
      <c r="A256" s="65"/>
      <c r="B256" s="65"/>
      <c r="C256" s="65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  <c r="T256" s="65"/>
      <c r="U256" s="65"/>
      <c r="V256" s="65"/>
    </row>
    <row r="257" spans="1:22" x14ac:dyDescent="0.25">
      <c r="A257" s="65"/>
      <c r="B257" s="65"/>
      <c r="C257" s="65"/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/>
      <c r="T257" s="65"/>
      <c r="U257" s="65"/>
      <c r="V257" s="65"/>
    </row>
    <row r="258" spans="1:22" x14ac:dyDescent="0.25">
      <c r="A258" s="65"/>
      <c r="B258" s="65"/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  <c r="U258" s="65"/>
      <c r="V258" s="65"/>
    </row>
    <row r="259" spans="1:22" x14ac:dyDescent="0.25">
      <c r="A259" s="65"/>
      <c r="B259" s="65"/>
      <c r="C259" s="65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65"/>
      <c r="U259" s="65"/>
      <c r="V259" s="65"/>
    </row>
    <row r="260" spans="1:22" x14ac:dyDescent="0.25">
      <c r="A260" s="65"/>
      <c r="B260" s="65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/>
      <c r="T260" s="65"/>
      <c r="U260" s="65"/>
      <c r="V260" s="65"/>
    </row>
    <row r="261" spans="1:22" x14ac:dyDescent="0.25">
      <c r="A261" s="65"/>
      <c r="B261" s="65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  <c r="V261" s="65"/>
    </row>
    <row r="262" spans="1:22" x14ac:dyDescent="0.25">
      <c r="A262" s="65"/>
      <c r="B262" s="65"/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/>
      <c r="T262" s="65"/>
      <c r="U262" s="65"/>
      <c r="V262" s="65"/>
    </row>
    <row r="263" spans="1:22" x14ac:dyDescent="0.25">
      <c r="A263" s="65"/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  <c r="T263" s="65"/>
      <c r="U263" s="65"/>
      <c r="V263" s="65"/>
    </row>
    <row r="264" spans="1:22" x14ac:dyDescent="0.25">
      <c r="A264" s="65"/>
      <c r="B264" s="65"/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  <c r="V264" s="65"/>
    </row>
    <row r="265" spans="1:22" x14ac:dyDescent="0.25">
      <c r="A265" s="65"/>
      <c r="B265" s="65"/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</row>
    <row r="266" spans="1:22" x14ac:dyDescent="0.25">
      <c r="A266" s="65"/>
      <c r="B266" s="65"/>
      <c r="C266" s="65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/>
      <c r="T266" s="65"/>
      <c r="U266" s="65"/>
      <c r="V266" s="65"/>
    </row>
    <row r="267" spans="1:22" x14ac:dyDescent="0.25">
      <c r="A267" s="65"/>
      <c r="B267" s="65"/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65"/>
    </row>
    <row r="268" spans="1:22" x14ac:dyDescent="0.25">
      <c r="A268" s="65"/>
      <c r="B268" s="65"/>
      <c r="C268" s="65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/>
      <c r="U268" s="65"/>
      <c r="V268" s="65"/>
    </row>
    <row r="269" spans="1:22" x14ac:dyDescent="0.25">
      <c r="A269" s="65"/>
      <c r="B269" s="65"/>
      <c r="C269" s="65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  <c r="V269" s="65"/>
    </row>
    <row r="270" spans="1:22" x14ac:dyDescent="0.25">
      <c r="A270" s="65"/>
      <c r="B270" s="65"/>
      <c r="C270" s="65"/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/>
      <c r="U270" s="65"/>
      <c r="V270" s="65"/>
    </row>
    <row r="271" spans="1:22" x14ac:dyDescent="0.25">
      <c r="A271" s="65"/>
      <c r="B271" s="65"/>
      <c r="C271" s="65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/>
      <c r="T271" s="65"/>
      <c r="U271" s="65"/>
      <c r="V271" s="65"/>
    </row>
    <row r="272" spans="1:22" x14ac:dyDescent="0.25">
      <c r="A272" s="65"/>
      <c r="B272" s="65"/>
      <c r="C272" s="65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/>
      <c r="T272" s="65"/>
      <c r="U272" s="65"/>
      <c r="V272" s="65"/>
    </row>
    <row r="273" spans="1:22" x14ac:dyDescent="0.25">
      <c r="A273" s="65"/>
      <c r="B273" s="65"/>
      <c r="C273" s="65"/>
      <c r="D273" s="65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/>
      <c r="T273" s="65"/>
      <c r="U273" s="65"/>
      <c r="V273" s="65"/>
    </row>
    <row r="274" spans="1:22" x14ac:dyDescent="0.25">
      <c r="A274" s="65"/>
      <c r="B274" s="65"/>
      <c r="C274" s="65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/>
      <c r="T274" s="65"/>
      <c r="U274" s="65"/>
      <c r="V274" s="65"/>
    </row>
    <row r="275" spans="1:22" x14ac:dyDescent="0.25">
      <c r="A275" s="65"/>
      <c r="B275" s="65"/>
      <c r="C275" s="65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  <c r="U275" s="65"/>
      <c r="V275" s="65"/>
    </row>
    <row r="276" spans="1:22" x14ac:dyDescent="0.25">
      <c r="A276" s="65"/>
      <c r="B276" s="65"/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/>
      <c r="T276" s="65"/>
      <c r="U276" s="65"/>
      <c r="V276" s="65"/>
    </row>
    <row r="277" spans="1:22" x14ac:dyDescent="0.25">
      <c r="A277" s="65"/>
      <c r="B277" s="65"/>
      <c r="C277" s="65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/>
      <c r="T277" s="65"/>
      <c r="U277" s="65"/>
      <c r="V277" s="65"/>
    </row>
    <row r="278" spans="1:22" x14ac:dyDescent="0.25">
      <c r="A278" s="65"/>
      <c r="B278" s="65"/>
      <c r="C278" s="65"/>
      <c r="D278" s="65"/>
      <c r="E278" s="65"/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/>
      <c r="T278" s="65"/>
      <c r="U278" s="65"/>
      <c r="V278" s="65"/>
    </row>
    <row r="279" spans="1:22" x14ac:dyDescent="0.25">
      <c r="A279" s="65"/>
      <c r="B279" s="65"/>
      <c r="C279" s="65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/>
      <c r="T279" s="65"/>
      <c r="U279" s="65"/>
      <c r="V279" s="65"/>
    </row>
    <row r="280" spans="1:22" x14ac:dyDescent="0.25">
      <c r="A280" s="65"/>
      <c r="B280" s="65"/>
      <c r="C280" s="65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/>
      <c r="T280" s="65"/>
      <c r="U280" s="65"/>
      <c r="V280" s="65"/>
    </row>
    <row r="281" spans="1:22" x14ac:dyDescent="0.25">
      <c r="A281" s="65"/>
      <c r="B281" s="65"/>
      <c r="C281" s="65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/>
      <c r="T281" s="65"/>
      <c r="U281" s="65"/>
      <c r="V281" s="65"/>
    </row>
    <row r="282" spans="1:22" x14ac:dyDescent="0.25">
      <c r="A282" s="65"/>
      <c r="B282" s="65"/>
      <c r="C282" s="65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/>
      <c r="T282" s="65"/>
      <c r="U282" s="65"/>
      <c r="V282" s="65"/>
    </row>
    <row r="283" spans="1:22" x14ac:dyDescent="0.25">
      <c r="A283" s="65"/>
      <c r="B283" s="65"/>
      <c r="C283" s="65"/>
      <c r="D283" s="65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/>
      <c r="T283" s="65"/>
      <c r="U283" s="65"/>
      <c r="V283" s="65"/>
    </row>
    <row r="284" spans="1:22" x14ac:dyDescent="0.25">
      <c r="A284" s="65"/>
      <c r="B284" s="65"/>
      <c r="C284" s="65"/>
      <c r="D284" s="65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/>
      <c r="T284" s="65"/>
      <c r="U284" s="65"/>
      <c r="V284" s="65"/>
    </row>
    <row r="285" spans="1:22" x14ac:dyDescent="0.25">
      <c r="A285" s="65"/>
      <c r="B285" s="65"/>
      <c r="C285" s="65"/>
      <c r="D285" s="65"/>
      <c r="E285" s="65"/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/>
      <c r="T285" s="65"/>
      <c r="U285" s="65"/>
      <c r="V285" s="65"/>
    </row>
    <row r="286" spans="1:22" x14ac:dyDescent="0.25">
      <c r="A286" s="65"/>
      <c r="B286" s="65"/>
      <c r="C286" s="65"/>
      <c r="D286" s="65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/>
      <c r="T286" s="65"/>
      <c r="U286" s="65"/>
      <c r="V286" s="65"/>
    </row>
    <row r="287" spans="1:22" x14ac:dyDescent="0.25">
      <c r="A287" s="65"/>
      <c r="B287" s="65"/>
      <c r="C287" s="65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/>
      <c r="T287" s="65"/>
      <c r="U287" s="65"/>
      <c r="V287" s="65"/>
    </row>
    <row r="288" spans="1:22" x14ac:dyDescent="0.25">
      <c r="A288" s="65"/>
      <c r="B288" s="65"/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/>
      <c r="T288" s="65"/>
      <c r="U288" s="65"/>
      <c r="V288" s="65"/>
    </row>
    <row r="289" spans="1:22" x14ac:dyDescent="0.25">
      <c r="A289" s="65"/>
      <c r="B289" s="65"/>
      <c r="C289" s="65"/>
      <c r="D289" s="65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/>
      <c r="T289" s="65"/>
      <c r="U289" s="65"/>
      <c r="V289" s="65"/>
    </row>
    <row r="290" spans="1:22" x14ac:dyDescent="0.25">
      <c r="A290" s="65"/>
      <c r="B290" s="65"/>
      <c r="C290" s="65"/>
      <c r="D290" s="65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/>
      <c r="T290" s="65"/>
      <c r="U290" s="65"/>
      <c r="V290" s="65"/>
    </row>
    <row r="291" spans="1:22" x14ac:dyDescent="0.25">
      <c r="A291" s="65"/>
      <c r="B291" s="65"/>
      <c r="C291" s="65"/>
      <c r="D291" s="65"/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/>
      <c r="T291" s="65"/>
      <c r="U291" s="65"/>
      <c r="V291" s="65"/>
    </row>
    <row r="292" spans="1:22" x14ac:dyDescent="0.25">
      <c r="A292" s="65"/>
      <c r="B292" s="65"/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  <c r="U292" s="65"/>
      <c r="V292" s="65"/>
    </row>
    <row r="293" spans="1:22" x14ac:dyDescent="0.25">
      <c r="A293" s="65"/>
      <c r="B293" s="65"/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/>
      <c r="T293" s="65"/>
      <c r="U293" s="65"/>
      <c r="V293" s="65"/>
    </row>
    <row r="294" spans="1:22" x14ac:dyDescent="0.25">
      <c r="A294" s="65"/>
      <c r="B294" s="65"/>
      <c r="C294" s="65"/>
      <c r="D294" s="65"/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/>
      <c r="T294" s="65"/>
      <c r="U294" s="65"/>
      <c r="V294" s="65"/>
    </row>
    <row r="295" spans="1:22" x14ac:dyDescent="0.25">
      <c r="A295" s="65"/>
      <c r="B295" s="65"/>
      <c r="C295" s="65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/>
      <c r="T295" s="65"/>
      <c r="U295" s="65"/>
      <c r="V295" s="65"/>
    </row>
    <row r="296" spans="1:22" x14ac:dyDescent="0.25">
      <c r="A296" s="65"/>
      <c r="B296" s="65"/>
      <c r="C296" s="65"/>
      <c r="D296" s="65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/>
      <c r="T296" s="65"/>
      <c r="U296" s="65"/>
      <c r="V296" s="65"/>
    </row>
    <row r="297" spans="1:22" x14ac:dyDescent="0.25">
      <c r="A297" s="65"/>
      <c r="B297" s="65"/>
      <c r="C297" s="65"/>
      <c r="D297" s="65"/>
      <c r="E297" s="65"/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/>
      <c r="T297" s="65"/>
      <c r="U297" s="65"/>
      <c r="V297" s="65"/>
    </row>
    <row r="298" spans="1:22" x14ac:dyDescent="0.25">
      <c r="A298" s="65"/>
      <c r="B298" s="65"/>
      <c r="C298" s="65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/>
      <c r="T298" s="65"/>
      <c r="U298" s="65"/>
      <c r="V298" s="65"/>
    </row>
    <row r="299" spans="1:22" x14ac:dyDescent="0.25">
      <c r="A299" s="65"/>
      <c r="B299" s="65"/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</row>
    <row r="300" spans="1:22" x14ac:dyDescent="0.25">
      <c r="A300" s="65"/>
      <c r="B300" s="65"/>
      <c r="C300" s="65"/>
      <c r="D300" s="65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/>
      <c r="T300" s="65"/>
      <c r="U300" s="65"/>
      <c r="V300" s="65"/>
    </row>
    <row r="301" spans="1:22" x14ac:dyDescent="0.25">
      <c r="A301" s="65"/>
      <c r="B301" s="65"/>
      <c r="C301" s="65"/>
      <c r="D301" s="65"/>
      <c r="E301" s="65"/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</row>
    <row r="302" spans="1:22" x14ac:dyDescent="0.25">
      <c r="A302" s="65"/>
      <c r="B302" s="65"/>
      <c r="C302" s="65"/>
      <c r="D302" s="65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</row>
    <row r="303" spans="1:22" x14ac:dyDescent="0.25">
      <c r="A303" s="65"/>
      <c r="B303" s="65"/>
      <c r="C303" s="65"/>
      <c r="D303" s="65"/>
      <c r="E303" s="65"/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</row>
    <row r="304" spans="1:22" x14ac:dyDescent="0.25">
      <c r="A304" s="65"/>
      <c r="B304" s="65"/>
      <c r="C304" s="65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</row>
    <row r="305" spans="1:22" x14ac:dyDescent="0.25">
      <c r="A305" s="65"/>
      <c r="B305" s="65"/>
      <c r="C305" s="65"/>
      <c r="D305" s="65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</row>
    <row r="306" spans="1:22" x14ac:dyDescent="0.25">
      <c r="A306" s="65"/>
      <c r="B306" s="65"/>
      <c r="C306" s="65"/>
      <c r="D306" s="65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</row>
    <row r="307" spans="1:22" x14ac:dyDescent="0.25">
      <c r="A307" s="65"/>
      <c r="B307" s="65"/>
      <c r="C307" s="65"/>
      <c r="D307" s="65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</row>
    <row r="308" spans="1:22" x14ac:dyDescent="0.25">
      <c r="A308" s="65"/>
      <c r="B308" s="65"/>
      <c r="C308" s="65"/>
      <c r="D308" s="65"/>
      <c r="E308" s="65"/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  <c r="V308" s="65"/>
    </row>
    <row r="309" spans="1:22" x14ac:dyDescent="0.25">
      <c r="A309" s="65"/>
      <c r="B309" s="65"/>
      <c r="C309" s="65"/>
      <c r="D309" s="65"/>
      <c r="E309" s="65"/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</row>
    <row r="310" spans="1:22" x14ac:dyDescent="0.25">
      <c r="A310" s="65"/>
      <c r="B310" s="65"/>
      <c r="C310" s="65"/>
      <c r="D310" s="65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/>
      <c r="T310" s="65"/>
      <c r="U310" s="65"/>
      <c r="V310" s="65"/>
    </row>
    <row r="311" spans="1:22" x14ac:dyDescent="0.25">
      <c r="A311" s="65"/>
      <c r="B311" s="65"/>
      <c r="C311" s="65"/>
      <c r="D311" s="65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</row>
    <row r="312" spans="1:22" x14ac:dyDescent="0.25">
      <c r="A312" s="65"/>
      <c r="B312" s="65"/>
      <c r="C312" s="65"/>
      <c r="D312" s="65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</row>
    <row r="313" spans="1:22" x14ac:dyDescent="0.25">
      <c r="A313" s="65"/>
      <c r="B313" s="65"/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</row>
    <row r="314" spans="1:22" x14ac:dyDescent="0.25">
      <c r="A314" s="65"/>
      <c r="B314" s="65"/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</row>
    <row r="315" spans="1:22" x14ac:dyDescent="0.25">
      <c r="A315" s="65"/>
      <c r="B315" s="65"/>
      <c r="C315" s="65"/>
      <c r="D315" s="65"/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</row>
    <row r="316" spans="1:22" x14ac:dyDescent="0.25">
      <c r="A316" s="65"/>
      <c r="B316" s="65"/>
      <c r="C316" s="65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</row>
    <row r="317" spans="1:22" x14ac:dyDescent="0.25">
      <c r="A317" s="65"/>
      <c r="B317" s="65"/>
      <c r="C317" s="65"/>
      <c r="D317" s="65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</row>
    <row r="318" spans="1:22" x14ac:dyDescent="0.25">
      <c r="A318" s="65"/>
      <c r="B318" s="65"/>
      <c r="C318" s="65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</row>
    <row r="319" spans="1:22" x14ac:dyDescent="0.25">
      <c r="A319" s="65"/>
      <c r="B319" s="65"/>
      <c r="C319" s="65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</row>
    <row r="320" spans="1:22" x14ac:dyDescent="0.25">
      <c r="A320" s="65"/>
      <c r="B320" s="65"/>
      <c r="C320" s="65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</row>
    <row r="321" spans="1:22" x14ac:dyDescent="0.25">
      <c r="A321" s="65"/>
      <c r="B321" s="65"/>
      <c r="C321" s="65"/>
      <c r="D321" s="65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</row>
    <row r="322" spans="1:22" x14ac:dyDescent="0.25">
      <c r="A322" s="65"/>
      <c r="B322" s="65"/>
      <c r="C322" s="65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</row>
    <row r="323" spans="1:22" x14ac:dyDescent="0.25">
      <c r="A323" s="65"/>
      <c r="B323" s="65"/>
      <c r="C323" s="65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</row>
    <row r="324" spans="1:22" x14ac:dyDescent="0.25">
      <c r="A324" s="65"/>
      <c r="B324" s="65"/>
      <c r="C324" s="65"/>
      <c r="D324" s="65"/>
      <c r="E324" s="65"/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</row>
    <row r="325" spans="1:22" x14ac:dyDescent="0.25">
      <c r="A325" s="65"/>
      <c r="B325" s="65"/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</row>
    <row r="326" spans="1:22" x14ac:dyDescent="0.25">
      <c r="A326" s="65"/>
      <c r="B326" s="65"/>
      <c r="C326" s="65"/>
      <c r="D326" s="65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</row>
    <row r="327" spans="1:22" x14ac:dyDescent="0.25">
      <c r="A327" s="65"/>
      <c r="B327" s="65"/>
      <c r="C327" s="65"/>
      <c r="D327" s="65"/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</row>
    <row r="328" spans="1:22" x14ac:dyDescent="0.25">
      <c r="A328" s="65"/>
      <c r="B328" s="65"/>
      <c r="C328" s="65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</row>
    <row r="329" spans="1:22" x14ac:dyDescent="0.25">
      <c r="A329" s="65"/>
      <c r="B329" s="65"/>
      <c r="C329" s="65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</row>
    <row r="330" spans="1:22" x14ac:dyDescent="0.25">
      <c r="A330" s="65"/>
      <c r="B330" s="65"/>
      <c r="C330" s="65"/>
      <c r="D330" s="65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</row>
    <row r="331" spans="1:22" x14ac:dyDescent="0.25">
      <c r="A331" s="65"/>
      <c r="B331" s="65"/>
      <c r="C331" s="65"/>
      <c r="D331" s="65"/>
      <c r="E331" s="65"/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</row>
    <row r="332" spans="1:22" x14ac:dyDescent="0.25">
      <c r="A332" s="65"/>
      <c r="B332" s="65"/>
      <c r="C332" s="65"/>
      <c r="D332" s="65"/>
      <c r="E332" s="65"/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</row>
    <row r="333" spans="1:22" x14ac:dyDescent="0.25">
      <c r="A333" s="65"/>
      <c r="B333" s="65"/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</row>
    <row r="334" spans="1:22" x14ac:dyDescent="0.25">
      <c r="A334" s="65"/>
      <c r="B334" s="65"/>
      <c r="C334" s="65"/>
      <c r="D334" s="65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</row>
    <row r="335" spans="1:22" x14ac:dyDescent="0.25">
      <c r="A335" s="65"/>
      <c r="B335" s="65"/>
      <c r="C335" s="65"/>
      <c r="D335" s="65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8" type="noConversion"/>
  <pageMargins left="0.15748031496062992" right="0.15748031496062992" top="0.27559055118110237" bottom="0.43307086614173229" header="0.19685039370078741" footer="0.31496062992125984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4:K77"/>
  <sheetViews>
    <sheetView tabSelected="1" zoomScale="60" zoomScaleNormal="60" zoomScaleSheetLayoutView="75" workbookViewId="0">
      <selection activeCell="X18" sqref="X18"/>
    </sheetView>
  </sheetViews>
  <sheetFormatPr defaultRowHeight="15.75" x14ac:dyDescent="0.25"/>
  <cols>
    <col min="1" max="1" width="9.140625" style="8"/>
    <col min="2" max="2" width="57.85546875" style="8" customWidth="1"/>
    <col min="3" max="3" width="15.28515625" style="8" customWidth="1"/>
    <col min="4" max="4" width="18.5703125" style="8" customWidth="1"/>
    <col min="5" max="5" width="16.140625" style="8" customWidth="1"/>
    <col min="6" max="6" width="15" style="8" customWidth="1"/>
    <col min="7" max="7" width="14.7109375" style="8" customWidth="1"/>
    <col min="8" max="8" width="8" style="8" customWidth="1"/>
    <col min="9" max="9" width="8.42578125" style="8" customWidth="1"/>
    <col min="10" max="10" width="8.5703125" style="8" customWidth="1"/>
    <col min="11" max="11" width="13.7109375" style="8" bestFit="1" customWidth="1"/>
    <col min="12" max="16384" width="9.140625" style="8"/>
  </cols>
  <sheetData>
    <row r="4" spans="1:11" ht="18.75" customHeight="1" x14ac:dyDescent="0.25">
      <c r="A4" s="224" t="str">
        <f>'1. паспорт местоположение'!$A$5</f>
        <v>Год раскрытия информации: 2019 год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</row>
    <row r="6" spans="1:11" ht="18.75" x14ac:dyDescent="0.25">
      <c r="A6" s="228" t="s">
        <v>6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</row>
    <row r="7" spans="1:11" ht="18.75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1:11" x14ac:dyDescent="0.25">
      <c r="A8" s="256" t="str">
        <f>'6.1. Паспорт сетевой график'!A9:L9</f>
        <v>АО "Чеченэнерго"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</row>
    <row r="9" spans="1:11" ht="18.75" customHeight="1" x14ac:dyDescent="0.25">
      <c r="A9" s="230" t="s">
        <v>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</row>
    <row r="10" spans="1:11" ht="18.75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</row>
    <row r="11" spans="1:11" x14ac:dyDescent="0.25">
      <c r="A11" s="256" t="str">
        <f>'6.1. Паспорт сетевой график'!A12:L12</f>
        <v>F_prj_109108_5385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</row>
    <row r="12" spans="1:11" x14ac:dyDescent="0.25">
      <c r="A12" s="230" t="s">
        <v>4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56" t="str">
        <f>'6.1. Паспорт сетевой график'!A15:L15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</row>
    <row r="15" spans="1:11" ht="15.75" customHeight="1" x14ac:dyDescent="0.25">
      <c r="A15" s="230" t="s">
        <v>3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</row>
    <row r="16" spans="1:11" x14ac:dyDescent="0.25">
      <c r="A16" s="293"/>
      <c r="B16" s="293"/>
      <c r="C16" s="293"/>
      <c r="D16" s="293"/>
      <c r="E16" s="293"/>
      <c r="F16" s="293"/>
      <c r="G16" s="293"/>
      <c r="H16" s="293"/>
      <c r="I16" s="293"/>
      <c r="J16" s="293"/>
      <c r="K16" s="293"/>
    </row>
    <row r="18" spans="1:11" x14ac:dyDescent="0.25">
      <c r="A18" s="297" t="s">
        <v>276</v>
      </c>
      <c r="B18" s="297"/>
      <c r="C18" s="297"/>
      <c r="D18" s="297"/>
      <c r="E18" s="297"/>
      <c r="F18" s="297"/>
      <c r="G18" s="297"/>
      <c r="H18" s="297"/>
      <c r="I18" s="297"/>
      <c r="J18" s="297"/>
      <c r="K18" s="297"/>
    </row>
    <row r="19" spans="1:11" x14ac:dyDescent="0.25">
      <c r="F19" s="69"/>
    </row>
    <row r="20" spans="1:11" ht="33" customHeight="1" x14ac:dyDescent="0.25">
      <c r="A20" s="276" t="s">
        <v>125</v>
      </c>
      <c r="B20" s="276" t="s">
        <v>124</v>
      </c>
      <c r="C20" s="295" t="s">
        <v>123</v>
      </c>
      <c r="D20" s="295"/>
      <c r="E20" s="296" t="s">
        <v>122</v>
      </c>
      <c r="F20" s="296"/>
      <c r="G20" s="276" t="s">
        <v>531</v>
      </c>
      <c r="H20" s="294" t="s">
        <v>499</v>
      </c>
      <c r="I20" s="294"/>
      <c r="J20" s="294"/>
      <c r="K20" s="294"/>
    </row>
    <row r="21" spans="1:11" ht="99.75" customHeight="1" x14ac:dyDescent="0.25">
      <c r="A21" s="277"/>
      <c r="B21" s="277"/>
      <c r="C21" s="295"/>
      <c r="D21" s="295"/>
      <c r="E21" s="296"/>
      <c r="F21" s="296"/>
      <c r="G21" s="277"/>
      <c r="H21" s="295" t="s">
        <v>1</v>
      </c>
      <c r="I21" s="295"/>
      <c r="J21" s="295" t="s">
        <v>8</v>
      </c>
      <c r="K21" s="295"/>
    </row>
    <row r="22" spans="1:11" ht="62.25" customHeight="1" x14ac:dyDescent="0.25">
      <c r="A22" s="278"/>
      <c r="B22" s="278"/>
      <c r="C22" s="220" t="s">
        <v>1</v>
      </c>
      <c r="D22" s="220" t="s">
        <v>8</v>
      </c>
      <c r="E22" s="20" t="s">
        <v>532</v>
      </c>
      <c r="F22" s="20" t="s">
        <v>533</v>
      </c>
      <c r="G22" s="278"/>
      <c r="H22" s="19" t="s">
        <v>534</v>
      </c>
      <c r="I22" s="19" t="s">
        <v>535</v>
      </c>
      <c r="J22" s="19" t="s">
        <v>534</v>
      </c>
      <c r="K22" s="19" t="s">
        <v>535</v>
      </c>
    </row>
    <row r="23" spans="1:11" ht="19.5" customHeight="1" x14ac:dyDescent="0.25">
      <c r="A23" s="82">
        <v>1</v>
      </c>
      <c r="B23" s="82">
        <v>2</v>
      </c>
      <c r="C23" s="192">
        <v>3</v>
      </c>
      <c r="D23" s="192">
        <v>4</v>
      </c>
      <c r="E23" s="192">
        <v>5</v>
      </c>
      <c r="F23" s="192">
        <v>6</v>
      </c>
      <c r="G23" s="192">
        <v>7</v>
      </c>
      <c r="H23" s="192">
        <v>8</v>
      </c>
      <c r="I23" s="192">
        <v>9</v>
      </c>
      <c r="J23" s="192">
        <v>10</v>
      </c>
      <c r="K23" s="192">
        <v>11</v>
      </c>
    </row>
    <row r="24" spans="1:11" s="44" customFormat="1" ht="47.25" customHeight="1" x14ac:dyDescent="0.25">
      <c r="A24" s="17">
        <v>1</v>
      </c>
      <c r="B24" s="16" t="s">
        <v>121</v>
      </c>
      <c r="C24" s="32">
        <f>VLOOKUP($A$11,'[1]6.2. отчет'!$D:$K,2,0)</f>
        <v>349.81581535600003</v>
      </c>
      <c r="D24" s="32">
        <f>VLOOKUP($A$11,'[1]6.2. отчет'!$D:$K,5,0)</f>
        <v>349.75487930600002</v>
      </c>
      <c r="E24" s="32">
        <f>VLOOKUP($A$11,'[1]6.2. отчет'!$D:$K,7,0)</f>
        <v>100.40877191000001</v>
      </c>
      <c r="F24" s="32">
        <f>VLOOKUP($A$11,'[1]6.2. отчет'!$D:$K,8,0)</f>
        <v>100.40877191000001</v>
      </c>
      <c r="G24" s="32">
        <f>VLOOKUP($A$11,'[1]6.2. отчет'!$D:$BL,9,0)</f>
        <v>0</v>
      </c>
      <c r="H24" s="32">
        <f>VLOOKUP($A$11,'[1]6.2. отчет'!$D:$BL,15,0)</f>
        <v>0</v>
      </c>
      <c r="I24" s="32">
        <f>VLOOKUP($A$11,'[1]6.2. отчет'!$D:$CU,45,0)</f>
        <v>0</v>
      </c>
      <c r="J24" s="32">
        <f>VLOOKUP($A$11,'[1]6.2. отчет'!$D:$BL,56,0)</f>
        <v>100.34783586</v>
      </c>
      <c r="K24" s="32">
        <f>VLOOKUP($A$11,'[1]6.2. отчет'!$D:$CU,86,0)</f>
        <v>0</v>
      </c>
    </row>
    <row r="25" spans="1:11" s="44" customFormat="1" ht="21.75" customHeight="1" x14ac:dyDescent="0.25">
      <c r="A25" s="14" t="s">
        <v>120</v>
      </c>
      <c r="B25" s="7" t="s">
        <v>119</v>
      </c>
      <c r="C25" s="32">
        <f t="shared" ref="C25:C26" si="0">H25</f>
        <v>0</v>
      </c>
      <c r="D25" s="32">
        <f>G25+J25</f>
        <v>0</v>
      </c>
      <c r="E25" s="32">
        <f t="shared" ref="E25:E28" si="1">F25+G25</f>
        <v>0</v>
      </c>
      <c r="F25" s="32">
        <f t="shared" ref="F25:F26" si="2">J25</f>
        <v>0</v>
      </c>
      <c r="G25" s="32">
        <f>VLOOKUP($A$11,'[1]6.2. отчет'!$D:$BL,10,0)</f>
        <v>0</v>
      </c>
      <c r="H25" s="32">
        <f>VLOOKUP($A$11,'[1]6.2. отчет'!$D:$BL,16,0)</f>
        <v>0</v>
      </c>
      <c r="I25" s="32">
        <f>IF(H25=0,0,VLOOKUP($A$11,'[1]6.2. отчет'!$D:$CU,46,0))</f>
        <v>0</v>
      </c>
      <c r="J25" s="32">
        <f>VLOOKUP($A$11,'[1]6.2. отчет'!$D:$BL,57,0)</f>
        <v>0</v>
      </c>
      <c r="K25" s="32">
        <f>IF(J25=0,0,VLOOKUP($A$11,'[1]6.2. отчет'!$D:$CU,87,0))</f>
        <v>0</v>
      </c>
    </row>
    <row r="26" spans="1:11" s="44" customFormat="1" ht="18.75" customHeight="1" x14ac:dyDescent="0.25">
      <c r="A26" s="14" t="s">
        <v>118</v>
      </c>
      <c r="B26" s="7" t="s">
        <v>117</v>
      </c>
      <c r="C26" s="32">
        <f t="shared" si="0"/>
        <v>0</v>
      </c>
      <c r="D26" s="32">
        <f>G26+J26</f>
        <v>0</v>
      </c>
      <c r="E26" s="32">
        <f t="shared" si="1"/>
        <v>0</v>
      </c>
      <c r="F26" s="32">
        <f t="shared" si="2"/>
        <v>0</v>
      </c>
      <c r="G26" s="32">
        <f>VLOOKUP($A$11,'[1]6.2. отчет'!$D:$BL,11,0)</f>
        <v>0</v>
      </c>
      <c r="H26" s="32">
        <f>VLOOKUP($A$11,'[1]6.2. отчет'!$D:$BL,17,0)</f>
        <v>0</v>
      </c>
      <c r="I26" s="32">
        <f>IF(H26=0,0,VLOOKUP($A$11,'[1]6.2. отчет'!$D:$CU,47,0))</f>
        <v>0</v>
      </c>
      <c r="J26" s="32">
        <f>VLOOKUP($A$11,'[1]6.2. отчет'!$D:$BL,58,0)</f>
        <v>0</v>
      </c>
      <c r="K26" s="32">
        <f>IF(J26=0,0,VLOOKUP($A$11,'[1]6.2. отчет'!$D:$CU,88,0))</f>
        <v>0</v>
      </c>
    </row>
    <row r="27" spans="1:11" s="44" customFormat="1" ht="31.5" x14ac:dyDescent="0.25">
      <c r="A27" s="14" t="s">
        <v>116</v>
      </c>
      <c r="B27" s="7" t="s">
        <v>227</v>
      </c>
      <c r="C27" s="32">
        <f>IF(C24="нд","нд",C24-(C29+C28+C26+C25))</f>
        <v>349.81581535600003</v>
      </c>
      <c r="D27" s="32">
        <f>G27+J27+D24-(G24+J24)</f>
        <v>349.75487930600002</v>
      </c>
      <c r="E27" s="32">
        <f>F27+G27</f>
        <v>100.40877191000001</v>
      </c>
      <c r="F27" s="32">
        <f>F24-(F25+F26+F28+F29)</f>
        <v>100.40877191000001</v>
      </c>
      <c r="G27" s="32">
        <f>VLOOKUP($A$11,'[1]6.2. отчет'!$D:$BL,12,0)</f>
        <v>0</v>
      </c>
      <c r="H27" s="32">
        <f>VLOOKUP($A$11,'[1]6.2. отчет'!$D:$BL,18,0)</f>
        <v>0</v>
      </c>
      <c r="I27" s="32">
        <f>IF(H27=0,0,VLOOKUP($A$11,'[1]6.2. отчет'!$D:$CU,48,0))</f>
        <v>0</v>
      </c>
      <c r="J27" s="32">
        <f>VLOOKUP($A$11,'[1]6.2. отчет'!$D:$BL,59,0)</f>
        <v>100.34783586</v>
      </c>
      <c r="K27" s="32">
        <f>IF(J27=0,0,VLOOKUP($A$11,'[1]6.2. отчет'!$D:$CU,89,0))</f>
        <v>0</v>
      </c>
    </row>
    <row r="28" spans="1:11" s="44" customFormat="1" ht="18.75" customHeight="1" x14ac:dyDescent="0.25">
      <c r="A28" s="14" t="s">
        <v>115</v>
      </c>
      <c r="B28" s="7" t="s">
        <v>114</v>
      </c>
      <c r="C28" s="32">
        <f>H28</f>
        <v>0</v>
      </c>
      <c r="D28" s="32">
        <f t="shared" ref="D28:D29" si="3">G28+J28</f>
        <v>0</v>
      </c>
      <c r="E28" s="32">
        <f t="shared" si="1"/>
        <v>0</v>
      </c>
      <c r="F28" s="32">
        <v>0</v>
      </c>
      <c r="G28" s="32">
        <f>VLOOKUP($A$11,'[1]6.2. отчет'!$D:$BL,13,0)</f>
        <v>0</v>
      </c>
      <c r="H28" s="32">
        <f>VLOOKUP($A$11,'[1]6.2. отчет'!$D:$BL,19,0)</f>
        <v>0</v>
      </c>
      <c r="I28" s="32">
        <f>IF(H28=0,0,VLOOKUP($A$11,'[1]6.2. отчет'!$D:$CU,49,0))</f>
        <v>0</v>
      </c>
      <c r="J28" s="32">
        <f>VLOOKUP($A$11,'[1]6.2. отчет'!$D:$BL,60,0)</f>
        <v>0</v>
      </c>
      <c r="K28" s="32">
        <f>IF(J28=0,0,VLOOKUP($A$11,'[1]6.2. отчет'!$D:$CU,90,0))</f>
        <v>0</v>
      </c>
    </row>
    <row r="29" spans="1:11" s="44" customFormat="1" ht="18" customHeight="1" x14ac:dyDescent="0.25">
      <c r="A29" s="14" t="s">
        <v>113</v>
      </c>
      <c r="B29" s="18" t="s">
        <v>112</v>
      </c>
      <c r="C29" s="32">
        <f>H29</f>
        <v>0</v>
      </c>
      <c r="D29" s="32">
        <f t="shared" si="3"/>
        <v>0</v>
      </c>
      <c r="E29" s="32">
        <f>F29+G29</f>
        <v>0</v>
      </c>
      <c r="F29" s="32">
        <v>0</v>
      </c>
      <c r="G29" s="32">
        <f>VLOOKUP($A$11,'[1]6.2. отчет'!$D:$BL,14,0)</f>
        <v>0</v>
      </c>
      <c r="H29" s="32">
        <f>VLOOKUP($A$11,'[1]6.2. отчет'!$D:$BL,20,0)</f>
        <v>0</v>
      </c>
      <c r="I29" s="32">
        <f>IF(H29=0,0,VLOOKUP($A$11,'[1]6.2. отчет'!$D:$CU,50,0))</f>
        <v>0</v>
      </c>
      <c r="J29" s="32">
        <f>VLOOKUP($A$11,'[1]6.2. отчет'!$D:$BL,61,0)</f>
        <v>0</v>
      </c>
      <c r="K29" s="32">
        <f>IF(J29=0,0,VLOOKUP($A$11,'[1]6.2. отчет'!$D:$CU,91,0))</f>
        <v>0</v>
      </c>
    </row>
    <row r="30" spans="1:11" s="44" customFormat="1" ht="47.25" x14ac:dyDescent="0.25">
      <c r="A30" s="17" t="s">
        <v>53</v>
      </c>
      <c r="B30" s="16" t="s">
        <v>111</v>
      </c>
      <c r="C30" s="32">
        <f>VLOOKUP($A$11,'[1]6.2. отчет'!$D:$DB,99,0)</f>
        <v>296.686398</v>
      </c>
      <c r="D30" s="32">
        <f>VLOOKUP($A$11,'[1]6.2. отчет'!$D:$FK,106,0)</f>
        <v>296.68639800000005</v>
      </c>
      <c r="E30" s="32">
        <f>VLOOKUP($A$11,'[1]6.2. отчет'!$D:$FK,108,0)</f>
        <v>0</v>
      </c>
      <c r="F30" s="32">
        <f>VLOOKUP($A$11,'[1]6.2. отчет'!$D:$FK,109,0)</f>
        <v>0</v>
      </c>
      <c r="G30" s="32">
        <f>VLOOKUP($A$11,'[1]6.2. отчет'!$D:$FK,110,0)</f>
        <v>0</v>
      </c>
      <c r="H30" s="32">
        <f>VLOOKUP($A$11,'[1]6.2. отчет'!$D:$FK,115,0)</f>
        <v>0</v>
      </c>
      <c r="I30" s="32">
        <f>VLOOKUP($A$11,'[1]6.2. отчет'!$D:$AGP,124,0)</f>
        <v>0</v>
      </c>
      <c r="J30" s="32">
        <f>VLOOKUP($A$11,'[1]6.2. отчет'!$D:$FK,130,0)</f>
        <v>0</v>
      </c>
      <c r="K30" s="32">
        <f>VLOOKUP($A$11,'[1]6.2. отчет'!$D:$FK,155,0)</f>
        <v>0</v>
      </c>
    </row>
    <row r="31" spans="1:11" s="44" customFormat="1" ht="21" customHeight="1" x14ac:dyDescent="0.25">
      <c r="A31" s="17" t="s">
        <v>110</v>
      </c>
      <c r="B31" s="7" t="s">
        <v>109</v>
      </c>
      <c r="C31" s="32">
        <f>VLOOKUP($A$11,'[1]6.2. отчет'!$D:$DB,100,0)</f>
        <v>37.646070000000002</v>
      </c>
      <c r="D31" s="76">
        <v>37.646070000000002</v>
      </c>
      <c r="E31" s="32">
        <f>F31+G31</f>
        <v>0</v>
      </c>
      <c r="F31" s="32">
        <v>0</v>
      </c>
      <c r="G31" s="32">
        <f>VLOOKUP($A$11,'[1]6.2. отчет'!$D:$FK,111,0)</f>
        <v>0</v>
      </c>
      <c r="H31" s="32">
        <v>0</v>
      </c>
      <c r="I31" s="32">
        <v>0</v>
      </c>
      <c r="J31" s="32">
        <f>VLOOKUP($A$11,'[1]6.2. отчет'!$D:$FK,131,0)</f>
        <v>0</v>
      </c>
      <c r="K31" s="32">
        <f>IF(J31=0,0,VLOOKUP($A$11,'[1]6.2. отчет'!$D:$FK,156,0))</f>
        <v>0</v>
      </c>
    </row>
    <row r="32" spans="1:11" s="44" customFormat="1" ht="34.5" customHeight="1" x14ac:dyDescent="0.25">
      <c r="A32" s="17" t="s">
        <v>108</v>
      </c>
      <c r="B32" s="7" t="s">
        <v>107</v>
      </c>
      <c r="C32" s="32">
        <f>VLOOKUP($A$11,'[1]6.2. отчет'!$D:$DB,101,0)</f>
        <v>279.44923999999997</v>
      </c>
      <c r="D32" s="76">
        <v>279.44923999999997</v>
      </c>
      <c r="E32" s="32">
        <f t="shared" ref="E32:E56" si="4">F32+G32</f>
        <v>0</v>
      </c>
      <c r="F32" s="32">
        <v>0</v>
      </c>
      <c r="G32" s="32">
        <f>VLOOKUP($A$11,'[1]6.2. отчет'!$D:$FK,112,0)</f>
        <v>0</v>
      </c>
      <c r="H32" s="32">
        <v>0</v>
      </c>
      <c r="I32" s="32">
        <v>0</v>
      </c>
      <c r="J32" s="32">
        <f>VLOOKUP($A$11,'[1]6.2. отчет'!$D:$FK,132,0)</f>
        <v>0</v>
      </c>
      <c r="K32" s="32">
        <f>IF(J32=0,0,VLOOKUP($A$11,'[1]6.2. отчет'!$D:$FK,157,0))</f>
        <v>0</v>
      </c>
    </row>
    <row r="33" spans="1:11" s="44" customFormat="1" ht="20.25" customHeight="1" x14ac:dyDescent="0.25">
      <c r="A33" s="17" t="s">
        <v>106</v>
      </c>
      <c r="B33" s="7" t="s">
        <v>105</v>
      </c>
      <c r="C33" s="32">
        <f>VLOOKUP($A$11,'[1]6.2. отчет'!$D:$DB,102,0)</f>
        <v>13.38151</v>
      </c>
      <c r="D33" s="76">
        <v>13.38151</v>
      </c>
      <c r="E33" s="32">
        <f t="shared" si="4"/>
        <v>0</v>
      </c>
      <c r="F33" s="32">
        <v>0</v>
      </c>
      <c r="G33" s="32">
        <f>VLOOKUP($A$11,'[1]6.2. отчет'!$D:$FK,113,0)</f>
        <v>0</v>
      </c>
      <c r="H33" s="32">
        <v>0</v>
      </c>
      <c r="I33" s="32">
        <v>0</v>
      </c>
      <c r="J33" s="32">
        <f>VLOOKUP($A$11,'[1]6.2. отчет'!$D:$FK,133,0)</f>
        <v>0</v>
      </c>
      <c r="K33" s="32">
        <f>IF(J33=0,0,VLOOKUP($A$11,'[1]6.2. отчет'!$D:$FK,158,0))</f>
        <v>0</v>
      </c>
    </row>
    <row r="34" spans="1:11" s="44" customFormat="1" ht="17.25" customHeight="1" x14ac:dyDescent="0.25">
      <c r="A34" s="17" t="s">
        <v>104</v>
      </c>
      <c r="B34" s="7" t="s">
        <v>103</v>
      </c>
      <c r="C34" s="32">
        <f>VLOOKUP($A$11,'[1]6.2. отчет'!$D:$DB,103,0)</f>
        <v>27.529046000000058</v>
      </c>
      <c r="D34" s="76">
        <v>27.529046000000058</v>
      </c>
      <c r="E34" s="32">
        <f t="shared" si="4"/>
        <v>0</v>
      </c>
      <c r="F34" s="32">
        <v>0</v>
      </c>
      <c r="G34" s="32">
        <f>VLOOKUP($A$11,'[1]6.2. отчет'!$D:$FK,114,0)</f>
        <v>0</v>
      </c>
      <c r="H34" s="32">
        <v>0</v>
      </c>
      <c r="I34" s="32">
        <v>0</v>
      </c>
      <c r="J34" s="32">
        <f>VLOOKUP($A$11,'[1]6.2. отчет'!$D:$FK,134,0)</f>
        <v>0</v>
      </c>
      <c r="K34" s="32">
        <f>IF(J34=0,0,VLOOKUP($A$11,'[1]6.2. отчет'!$D:$FK,159,0))</f>
        <v>0</v>
      </c>
    </row>
    <row r="35" spans="1:11" s="148" customFormat="1" ht="31.5" x14ac:dyDescent="0.25">
      <c r="A35" s="17" t="s">
        <v>52</v>
      </c>
      <c r="B35" s="16" t="s">
        <v>102</v>
      </c>
      <c r="C35" s="32"/>
      <c r="D35" s="32"/>
      <c r="E35" s="32"/>
      <c r="F35" s="32"/>
      <c r="G35" s="32"/>
      <c r="H35" s="32"/>
      <c r="I35" s="67"/>
      <c r="J35" s="32"/>
      <c r="K35" s="67"/>
    </row>
    <row r="36" spans="1:11" s="44" customFormat="1" ht="31.5" x14ac:dyDescent="0.25">
      <c r="A36" s="14" t="s">
        <v>101</v>
      </c>
      <c r="B36" s="13" t="s">
        <v>100</v>
      </c>
      <c r="C36" s="32">
        <f>VLOOKUP($A$11,'[1]6.2. отчет'!$D:$FX,168,0)</f>
        <v>0</v>
      </c>
      <c r="D36" s="32">
        <v>0</v>
      </c>
      <c r="E36" s="32">
        <f t="shared" si="4"/>
        <v>0</v>
      </c>
      <c r="F36" s="32">
        <v>0</v>
      </c>
      <c r="G36" s="32">
        <f>VLOOKUP($A$11,'[1]6.2. отчет'!$D:$GJ,180,0)</f>
        <v>0</v>
      </c>
      <c r="H36" s="32">
        <f>VLOOKUP($A$11,'[1]6.2. отчет'!$D:$AGO,191,0)</f>
        <v>0</v>
      </c>
      <c r="I36" s="32">
        <f>VLOOKUP($A$11,'[1]6.2. отчет'!$D:$AGO,246,0)</f>
        <v>0</v>
      </c>
      <c r="J36" s="32">
        <f>VLOOKUP($A$11,'[1]6.2. отчет'!$D:$AGO,257,0)</f>
        <v>0</v>
      </c>
      <c r="K36" s="32">
        <f>VLOOKUP($A$11,'[1]6.2. отчет'!$D:$AGO,312,0)</f>
        <v>0</v>
      </c>
    </row>
    <row r="37" spans="1:11" s="44" customFormat="1" x14ac:dyDescent="0.25">
      <c r="A37" s="14" t="s">
        <v>99</v>
      </c>
      <c r="B37" s="13" t="s">
        <v>89</v>
      </c>
      <c r="C37" s="32">
        <f>VLOOKUP($A$11,'[1]6.2. отчет'!$D:$FX,169,0)</f>
        <v>0</v>
      </c>
      <c r="D37" s="32">
        <v>0</v>
      </c>
      <c r="E37" s="32">
        <f t="shared" si="4"/>
        <v>0</v>
      </c>
      <c r="F37" s="32">
        <v>0</v>
      </c>
      <c r="G37" s="32">
        <f>VLOOKUP($A$11,'[1]6.2. отчет'!$D:$GJ,181,0)</f>
        <v>0</v>
      </c>
      <c r="H37" s="32">
        <f>VLOOKUP($A$11,'[1]6.2. отчет'!$D:$AGO,192,0)</f>
        <v>0</v>
      </c>
      <c r="I37" s="32">
        <f>VLOOKUP($A$11,'[1]6.2. отчет'!$D:$AGO,247,0)</f>
        <v>0</v>
      </c>
      <c r="J37" s="32">
        <f>VLOOKUP($A$11,'[1]6.2. отчет'!$D:$AGO,258,0)</f>
        <v>0</v>
      </c>
      <c r="K37" s="32">
        <f>VLOOKUP($A$11,'[1]6.2. отчет'!$D:$AGO,313,0)</f>
        <v>0</v>
      </c>
    </row>
    <row r="38" spans="1:11" s="44" customFormat="1" x14ac:dyDescent="0.25">
      <c r="A38" s="14" t="s">
        <v>98</v>
      </c>
      <c r="B38" s="13" t="s">
        <v>87</v>
      </c>
      <c r="C38" s="32">
        <f>VLOOKUP($A$11,'[1]6.2. отчет'!$D:$FX,170,0)</f>
        <v>0</v>
      </c>
      <c r="D38" s="32">
        <v>0</v>
      </c>
      <c r="E38" s="32">
        <f t="shared" si="4"/>
        <v>0</v>
      </c>
      <c r="F38" s="32">
        <v>0</v>
      </c>
      <c r="G38" s="32">
        <f>VLOOKUP($A$11,'[1]6.2. отчет'!$D:$GJ,182,0)</f>
        <v>0</v>
      </c>
      <c r="H38" s="32">
        <f>VLOOKUP($A$11,'[1]6.2. отчет'!$D:$AGO,193,0)</f>
        <v>0</v>
      </c>
      <c r="I38" s="32">
        <f>VLOOKUP($A$11,'[1]6.2. отчет'!$D:$AGO,248,0)</f>
        <v>0</v>
      </c>
      <c r="J38" s="32">
        <f>VLOOKUP($A$11,'[1]6.2. отчет'!$D:$AGO,259,0)</f>
        <v>0</v>
      </c>
      <c r="K38" s="32">
        <f>VLOOKUP($A$11,'[1]6.2. отчет'!$D:$AGO,314,0)</f>
        <v>0</v>
      </c>
    </row>
    <row r="39" spans="1:11" s="44" customFormat="1" ht="31.5" x14ac:dyDescent="0.25">
      <c r="A39" s="14" t="s">
        <v>97</v>
      </c>
      <c r="B39" s="7" t="s">
        <v>85</v>
      </c>
      <c r="C39" s="32">
        <f>VLOOKUP($A$11,'[1]6.2. отчет'!$D:$FX,172,0)</f>
        <v>0</v>
      </c>
      <c r="D39" s="32">
        <v>0</v>
      </c>
      <c r="E39" s="32">
        <f t="shared" si="4"/>
        <v>0</v>
      </c>
      <c r="F39" s="32">
        <v>0</v>
      </c>
      <c r="G39" s="32">
        <f>VLOOKUP($A$11,'[1]6.2. отчет'!$D:$GJ,184,0)</f>
        <v>0</v>
      </c>
      <c r="H39" s="32">
        <f>VLOOKUP($A$11,'[1]6.2. отчет'!$D:$AGO,195,0)</f>
        <v>0</v>
      </c>
      <c r="I39" s="32">
        <f>VLOOKUP($A$11,'[1]6.2. отчет'!$D:$AGO,250,0)</f>
        <v>0</v>
      </c>
      <c r="J39" s="32">
        <f>VLOOKUP($A$11,'[1]6.2. отчет'!$D:$AGO,261,0)</f>
        <v>0</v>
      </c>
      <c r="K39" s="32">
        <f>VLOOKUP($A$11,'[1]6.2. отчет'!$D:$AGO,316,0)</f>
        <v>0</v>
      </c>
    </row>
    <row r="40" spans="1:11" s="44" customFormat="1" ht="31.5" x14ac:dyDescent="0.25">
      <c r="A40" s="14" t="s">
        <v>96</v>
      </c>
      <c r="B40" s="7" t="s">
        <v>83</v>
      </c>
      <c r="C40" s="32">
        <f>VLOOKUP($A$11,'[1]6.2. отчет'!$D:$FX,173,0)</f>
        <v>0</v>
      </c>
      <c r="D40" s="32">
        <v>0</v>
      </c>
      <c r="E40" s="32">
        <f t="shared" si="4"/>
        <v>0</v>
      </c>
      <c r="F40" s="32">
        <v>0</v>
      </c>
      <c r="G40" s="32">
        <f>VLOOKUP($A$11,'[1]6.2. отчет'!$D:$GJ,185,0)</f>
        <v>0</v>
      </c>
      <c r="H40" s="32">
        <f>VLOOKUP($A$11,'[1]6.2. отчет'!$D:$AGO,196,0)</f>
        <v>0</v>
      </c>
      <c r="I40" s="32">
        <f>VLOOKUP($A$11,'[1]6.2. отчет'!$D:$AGO,251,0)</f>
        <v>0</v>
      </c>
      <c r="J40" s="32">
        <f>VLOOKUP($A$11,'[1]6.2. отчет'!$D:$AGO,262,0)</f>
        <v>0</v>
      </c>
      <c r="K40" s="32">
        <f>VLOOKUP($A$11,'[1]6.2. отчет'!$D:$AGO,317,0)</f>
        <v>0</v>
      </c>
    </row>
    <row r="41" spans="1:11" s="44" customFormat="1" x14ac:dyDescent="0.25">
      <c r="A41" s="14" t="s">
        <v>95</v>
      </c>
      <c r="B41" s="7" t="s">
        <v>81</v>
      </c>
      <c r="C41" s="32">
        <f>VLOOKUP($A$11,'[1]6.2. отчет'!$D:$FX,174,0)</f>
        <v>0</v>
      </c>
      <c r="D41" s="32">
        <v>0</v>
      </c>
      <c r="E41" s="32">
        <f t="shared" si="4"/>
        <v>0</v>
      </c>
      <c r="F41" s="32">
        <v>0</v>
      </c>
      <c r="G41" s="32">
        <f>VLOOKUP($A$11,'[1]6.2. отчет'!$D:$GJ,186,0)</f>
        <v>0</v>
      </c>
      <c r="H41" s="32">
        <f>VLOOKUP($A$11,'[1]6.2. отчет'!$D:$AGO,197,0)</f>
        <v>0</v>
      </c>
      <c r="I41" s="32">
        <f>VLOOKUP($A$11,'[1]6.2. отчет'!$D:$AGO,252,0)</f>
        <v>0</v>
      </c>
      <c r="J41" s="32">
        <f>VLOOKUP($A$11,'[1]6.2. отчет'!$D:$AGO,263,0)</f>
        <v>0</v>
      </c>
      <c r="K41" s="32">
        <f>VLOOKUP($A$11,'[1]6.2. отчет'!$D:$AGO,318,0)</f>
        <v>0</v>
      </c>
    </row>
    <row r="42" spans="1:11" s="44" customFormat="1" x14ac:dyDescent="0.25">
      <c r="A42" s="14" t="s">
        <v>94</v>
      </c>
      <c r="B42" s="68" t="s">
        <v>500</v>
      </c>
      <c r="C42" s="32">
        <f>VLOOKUP($A$11,'[1]6.2. отчет'!$D:$FX,177,0)</f>
        <v>0</v>
      </c>
      <c r="D42" s="32">
        <v>0</v>
      </c>
      <c r="E42" s="32">
        <f t="shared" si="4"/>
        <v>0</v>
      </c>
      <c r="F42" s="32">
        <v>0</v>
      </c>
      <c r="G42" s="32">
        <f>VLOOKUP($A$11,'[1]6.2. отчет'!$D:$GJ,189,0)</f>
        <v>0</v>
      </c>
      <c r="H42" s="32">
        <f>VLOOKUP($A$11,'[1]6.2. отчет'!$D:$AGO,200,0)</f>
        <v>0</v>
      </c>
      <c r="I42" s="32">
        <f>VLOOKUP($A$11,'[1]6.2. отчет'!$D:$AGO,255,0)</f>
        <v>0</v>
      </c>
      <c r="J42" s="32">
        <f>VLOOKUP($A$11,'[1]6.2. отчет'!$D:$AGO,266,0)</f>
        <v>0</v>
      </c>
      <c r="K42" s="32">
        <f>VLOOKUP($A$11,'[1]6.2. отчет'!$D:$AGO,321,0)</f>
        <v>0</v>
      </c>
    </row>
    <row r="43" spans="1:11" s="148" customFormat="1" ht="26.25" customHeight="1" x14ac:dyDescent="0.25">
      <c r="A43" s="17" t="s">
        <v>51</v>
      </c>
      <c r="B43" s="16" t="s">
        <v>93</v>
      </c>
      <c r="C43" s="32"/>
      <c r="D43" s="31"/>
      <c r="E43" s="32"/>
      <c r="F43" s="32"/>
      <c r="G43" s="32"/>
      <c r="H43" s="32"/>
      <c r="I43" s="67"/>
      <c r="J43" s="32"/>
      <c r="K43" s="67"/>
    </row>
    <row r="44" spans="1:11" s="44" customFormat="1" x14ac:dyDescent="0.25">
      <c r="A44" s="14" t="s">
        <v>92</v>
      </c>
      <c r="B44" s="7" t="s">
        <v>91</v>
      </c>
      <c r="C44" s="32">
        <f>IF('1. паспорт местоположение'!$C$22="Прочие инвестиционные проекты",0,VLOOKUP($A$11,'[1]6.2. отчет'!$D:$FX,168,0))</f>
        <v>0</v>
      </c>
      <c r="D44" s="32">
        <v>0</v>
      </c>
      <c r="E44" s="32">
        <f t="shared" si="4"/>
        <v>0</v>
      </c>
      <c r="F44" s="32">
        <v>0</v>
      </c>
      <c r="G44" s="32">
        <f>IF('1. паспорт местоположение'!$C$22="Прочие инвестиционные проекты",0,VLOOKUP($A$11,'[1]6.2. отчет'!$D:$GJ,180,0))</f>
        <v>0</v>
      </c>
      <c r="H44" s="32">
        <f>IF('1. паспорт местоположение'!$C$22="Прочие инвестиционные проекты",0,VLOOKUP($A$11,'[1]6.2. отчет'!$D:$AGO,191,0))</f>
        <v>0</v>
      </c>
      <c r="I44" s="32">
        <f>IF('1. паспорт местоположение'!$C$22="Прочие инвестиционные проекты",0,VLOOKUP($A$11,'[1]6.2. отчет'!$D:$AGO,246,0))</f>
        <v>0</v>
      </c>
      <c r="J44" s="32">
        <f>IF('1. паспорт местоположение'!$C$22="Прочие инвестиционные проекты",0,VLOOKUP($A$11,'[1]6.2. отчет'!$D:$AGO,257,0))</f>
        <v>0</v>
      </c>
      <c r="K44" s="32">
        <f>IF('1. паспорт местоположение'!$C$22="Прочие инвестиционные проекты",0,VLOOKUP($A$11,'[1]6.2. отчет'!$D:$AGO,312,0))</f>
        <v>0</v>
      </c>
    </row>
    <row r="45" spans="1:11" s="44" customFormat="1" x14ac:dyDescent="0.25">
      <c r="A45" s="14" t="s">
        <v>90</v>
      </c>
      <c r="B45" s="7" t="s">
        <v>89</v>
      </c>
      <c r="C45" s="32">
        <f>IF('1. паспорт местоположение'!$C$22="Прочие инвестиционные проекты",0,VLOOKUP($A$11,'[1]6.2. отчет'!$D:$FX,169,0))</f>
        <v>0</v>
      </c>
      <c r="D45" s="32">
        <v>0</v>
      </c>
      <c r="E45" s="32">
        <f t="shared" si="4"/>
        <v>0</v>
      </c>
      <c r="F45" s="32">
        <v>0</v>
      </c>
      <c r="G45" s="32">
        <f>IF('1. паспорт местоположение'!$C$22="Прочие инвестиционные проекты",0,VLOOKUP($A$11,'[1]6.2. отчет'!$D:$GJ,181,0))</f>
        <v>0</v>
      </c>
      <c r="H45" s="32">
        <f>IF('1. паспорт местоположение'!$C$22="Прочие инвестиционные проекты",0,VLOOKUP($A$11,'[1]6.2. отчет'!$D:$AGO,192,0))</f>
        <v>0</v>
      </c>
      <c r="I45" s="32">
        <f>IF('1. паспорт местоположение'!$C$22="Прочие инвестиционные проекты",0,VLOOKUP($A$11,'[1]6.2. отчет'!$D:$AGO,247,0))</f>
        <v>0</v>
      </c>
      <c r="J45" s="32">
        <f>IF('1. паспорт местоположение'!$C$22="Прочие инвестиционные проекты",0,VLOOKUP($A$11,'[1]6.2. отчет'!$D:$AGO,258,0))</f>
        <v>0</v>
      </c>
      <c r="K45" s="32">
        <f>IF('1. паспорт местоположение'!$C$22="Прочие инвестиционные проекты",0,VLOOKUP($A$11,'[1]6.2. отчет'!$D:$AGO,313,0))</f>
        <v>0</v>
      </c>
    </row>
    <row r="46" spans="1:11" s="44" customFormat="1" x14ac:dyDescent="0.25">
      <c r="A46" s="14" t="s">
        <v>88</v>
      </c>
      <c r="B46" s="7" t="s">
        <v>87</v>
      </c>
      <c r="C46" s="32">
        <f>IF('1. паспорт местоположение'!$C$22="Прочие инвестиционные проекты",0,VLOOKUP($A$11,'[1]6.2. отчет'!$D:$FX,170,0))</f>
        <v>0</v>
      </c>
      <c r="D46" s="32">
        <v>0</v>
      </c>
      <c r="E46" s="32">
        <f t="shared" si="4"/>
        <v>0</v>
      </c>
      <c r="F46" s="32">
        <v>0</v>
      </c>
      <c r="G46" s="32">
        <f>IF('1. паспорт местоположение'!$C$22="Прочие инвестиционные проекты",0,VLOOKUP($A$11,'[1]6.2. отчет'!$D:$GJ,182,0))</f>
        <v>0</v>
      </c>
      <c r="H46" s="32">
        <f>IF('1. паспорт местоположение'!$C$22="Прочие инвестиционные проекты",0,VLOOKUP($A$11,'[1]6.2. отчет'!$D:$AGO,193,0))</f>
        <v>0</v>
      </c>
      <c r="I46" s="32">
        <f>IF('1. паспорт местоположение'!$C$22="Прочие инвестиционные проекты",0,VLOOKUP($A$11,'[1]6.2. отчет'!$D:$AGO,248,0))</f>
        <v>0</v>
      </c>
      <c r="J46" s="32">
        <f>IF('1. паспорт местоположение'!$C$22="Прочие инвестиционные проекты",0,VLOOKUP($A$11,'[1]6.2. отчет'!$D:$AGO,259,0))</f>
        <v>0</v>
      </c>
      <c r="K46" s="32">
        <f>IF('1. паспорт местоположение'!$C$22="Прочие инвестиционные проекты",0,VLOOKUP($A$11,'[1]6.2. отчет'!$D:$AGO,314,0))</f>
        <v>0</v>
      </c>
    </row>
    <row r="47" spans="1:11" s="44" customFormat="1" ht="31.5" x14ac:dyDescent="0.25">
      <c r="A47" s="14" t="s">
        <v>86</v>
      </c>
      <c r="B47" s="7" t="s">
        <v>85</v>
      </c>
      <c r="C47" s="32">
        <f>IF('1. паспорт местоположение'!$C$22="Прочие инвестиционные проекты",0,VLOOKUP($A$11,'[1]6.2. отчет'!$D:$FX,172,0))</f>
        <v>0</v>
      </c>
      <c r="D47" s="32">
        <v>0</v>
      </c>
      <c r="E47" s="32">
        <f t="shared" si="4"/>
        <v>0</v>
      </c>
      <c r="F47" s="32">
        <v>0</v>
      </c>
      <c r="G47" s="32">
        <f>IF('1. паспорт местоположение'!$C$22="Прочие инвестиционные проекты",0,VLOOKUP($A$11,'[1]6.2. отчет'!$D:$GJ,184,0))</f>
        <v>0</v>
      </c>
      <c r="H47" s="32">
        <f>IF('1. паспорт местоположение'!$C$22="Прочие инвестиционные проекты",0,VLOOKUP($A$11,'[1]6.2. отчет'!$D:$AGO,195,0))</f>
        <v>0</v>
      </c>
      <c r="I47" s="32">
        <f>IF('1. паспорт местоположение'!$C$22="Прочие инвестиционные проекты",0,VLOOKUP($A$11,'[1]6.2. отчет'!$D:$AGO,250,0))</f>
        <v>0</v>
      </c>
      <c r="J47" s="32">
        <f>IF('1. паспорт местоположение'!$C$22="Прочие инвестиционные проекты",0,VLOOKUP($A$11,'[1]6.2. отчет'!$D:$AGO,261,0))</f>
        <v>0</v>
      </c>
      <c r="K47" s="32">
        <f>IF('1. паспорт местоположение'!$C$22="Прочие инвестиционные проекты",0,VLOOKUP($A$11,'[1]6.2. отчет'!$D:$AGO,316,0))</f>
        <v>0</v>
      </c>
    </row>
    <row r="48" spans="1:11" s="44" customFormat="1" ht="31.5" x14ac:dyDescent="0.25">
      <c r="A48" s="14" t="s">
        <v>84</v>
      </c>
      <c r="B48" s="7" t="s">
        <v>83</v>
      </c>
      <c r="C48" s="32">
        <f>IF('1. паспорт местоположение'!$C$22="Прочие инвестиционные проекты",0,VLOOKUP($A$11,'[1]6.2. отчет'!$D:$FX,173,0))</f>
        <v>0</v>
      </c>
      <c r="D48" s="32">
        <v>0</v>
      </c>
      <c r="E48" s="32">
        <f t="shared" si="4"/>
        <v>0</v>
      </c>
      <c r="F48" s="32">
        <v>0</v>
      </c>
      <c r="G48" s="32">
        <f>IF('1. паспорт местоположение'!$C$22="Прочие инвестиционные проекты",0,VLOOKUP($A$11,'[1]6.2. отчет'!$D:$GJ,185,0))</f>
        <v>0</v>
      </c>
      <c r="H48" s="32">
        <f>IF('1. паспорт местоположение'!$C$22="Прочие инвестиционные проекты",0,VLOOKUP($A$11,'[1]6.2. отчет'!$D:$AGO,196,0))</f>
        <v>0</v>
      </c>
      <c r="I48" s="32">
        <f>IF('1. паспорт местоположение'!$C$22="Прочие инвестиционные проекты",0,VLOOKUP($A$11,'[1]6.2. отчет'!$D:$AGO,251,0))</f>
        <v>0</v>
      </c>
      <c r="J48" s="32">
        <f>IF('1. паспорт местоположение'!$C$22="Прочие инвестиционные проекты",0,VLOOKUP($A$11,'[1]6.2. отчет'!$D:$AGO,262,0))</f>
        <v>0</v>
      </c>
      <c r="K48" s="32">
        <f>IF('1. паспорт местоположение'!$C$22="Прочие инвестиционные проекты",0,VLOOKUP($A$11,'[1]6.2. отчет'!$D:$AGO,317,0))</f>
        <v>0</v>
      </c>
    </row>
    <row r="49" spans="1:11" s="44" customFormat="1" x14ac:dyDescent="0.25">
      <c r="A49" s="14" t="s">
        <v>82</v>
      </c>
      <c r="B49" s="7" t="s">
        <v>81</v>
      </c>
      <c r="C49" s="32">
        <f>IF('1. паспорт местоположение'!$C$22="Прочие инвестиционные проекты",0,VLOOKUP($A$11,'[1]6.2. отчет'!$D:$FX,174,0))</f>
        <v>0</v>
      </c>
      <c r="D49" s="32">
        <v>0</v>
      </c>
      <c r="E49" s="32">
        <f t="shared" si="4"/>
        <v>0</v>
      </c>
      <c r="F49" s="32">
        <v>0</v>
      </c>
      <c r="G49" s="32">
        <f>IF('1. паспорт местоположение'!$C$22="Прочие инвестиционные проекты",0,VLOOKUP($A$11,'[1]6.2. отчет'!$D:$GJ,186,0))</f>
        <v>0</v>
      </c>
      <c r="H49" s="32">
        <f>IF('1. паспорт местоположение'!$C$22="Прочие инвестиционные проекты",0,VLOOKUP($A$11,'[1]6.2. отчет'!$D:$AGO,197,0))</f>
        <v>0</v>
      </c>
      <c r="I49" s="32">
        <f>IF('1. паспорт местоположение'!$C$22="Прочие инвестиционные проекты",0,VLOOKUP($A$11,'[1]6.2. отчет'!$D:$AGO,252,0))</f>
        <v>0</v>
      </c>
      <c r="J49" s="32">
        <f>IF('1. паспорт местоположение'!$C$22="Прочие инвестиционные проекты",0,VLOOKUP($A$11,'[1]6.2. отчет'!$D:$AGO,263,0))</f>
        <v>0</v>
      </c>
      <c r="K49" s="32">
        <f>IF('1. паспорт местоположение'!$C$22="Прочие инвестиционные проекты",0,VLOOKUP($A$11,'[1]6.2. отчет'!$D:$AGO,318,0))</f>
        <v>0</v>
      </c>
    </row>
    <row r="50" spans="1:11" s="44" customFormat="1" x14ac:dyDescent="0.25">
      <c r="A50" s="14" t="s">
        <v>80</v>
      </c>
      <c r="B50" s="7" t="s">
        <v>500</v>
      </c>
      <c r="C50" s="32">
        <f>IF('1. паспорт местоположение'!$C$22="Прочие инвестиционные проекты",0,VLOOKUP($A$11,'[1]6.2. отчет'!$D:$FX,177,0))</f>
        <v>0</v>
      </c>
      <c r="D50" s="32">
        <v>0</v>
      </c>
      <c r="E50" s="32">
        <f t="shared" si="4"/>
        <v>0</v>
      </c>
      <c r="F50" s="32">
        <v>0</v>
      </c>
      <c r="G50" s="32">
        <f>IF('1. паспорт местоположение'!$C$22="Прочие инвестиционные проекты",0,VLOOKUP($A$11,'[1]6.2. отчет'!$D:$GJ,189,0))</f>
        <v>0</v>
      </c>
      <c r="H50" s="32">
        <f>IF('1. паспорт местоположение'!$C$22="Прочие инвестиционные проекты",0,VLOOKUP($A$11,'[1]6.2. отчет'!$D:$AGO,200,0))</f>
        <v>0</v>
      </c>
      <c r="I50" s="32">
        <f>IF('1. паспорт местоположение'!$C$22="Прочие инвестиционные проекты",0,VLOOKUP($A$11,'[1]6.2. отчет'!$D:$AGO,255,0))</f>
        <v>0</v>
      </c>
      <c r="J50" s="32">
        <f>IF('1. паспорт местоположение'!$C$22="Прочие инвестиционные проекты",0,VLOOKUP($A$11,'[1]6.2. отчет'!$D:$AGO,266,0))</f>
        <v>0</v>
      </c>
      <c r="K50" s="32">
        <f>IF('1. паспорт местоположение'!$C$22="Прочие инвестиционные проекты",0,VLOOKUP($A$11,'[1]6.2. отчет'!$D:$AGO,321,0))</f>
        <v>0</v>
      </c>
    </row>
    <row r="51" spans="1:11" s="148" customFormat="1" ht="35.25" customHeight="1" x14ac:dyDescent="0.25">
      <c r="A51" s="17" t="s">
        <v>49</v>
      </c>
      <c r="B51" s="16" t="s">
        <v>79</v>
      </c>
      <c r="C51" s="32"/>
      <c r="D51" s="32"/>
      <c r="E51" s="32">
        <f t="shared" si="4"/>
        <v>0</v>
      </c>
      <c r="F51" s="32"/>
      <c r="G51" s="32"/>
      <c r="H51" s="32"/>
      <c r="I51" s="67"/>
      <c r="J51" s="32"/>
      <c r="K51" s="67"/>
    </row>
    <row r="52" spans="1:11" s="44" customFormat="1" ht="26.25" customHeight="1" x14ac:dyDescent="0.25">
      <c r="A52" s="14" t="s">
        <v>78</v>
      </c>
      <c r="B52" s="7" t="s">
        <v>77</v>
      </c>
      <c r="C52" s="32">
        <f>VLOOKUP($A$11,'[1]6.2. отчет'!$D:$FX,167,0)</f>
        <v>0</v>
      </c>
      <c r="D52" s="32">
        <v>0</v>
      </c>
      <c r="E52" s="32">
        <f t="shared" si="4"/>
        <v>0</v>
      </c>
      <c r="F52" s="32">
        <v>0</v>
      </c>
      <c r="G52" s="32">
        <f>VLOOKUP($A$11,'[1]6.2. отчет'!$D:$GJ,179,0)</f>
        <v>0</v>
      </c>
      <c r="H52" s="32">
        <f>VLOOKUP($A$11,'[1]6.2. отчет'!$D:$AGO,190,0)</f>
        <v>0</v>
      </c>
      <c r="I52" s="32">
        <f>VLOOKUP($A$11,'[1]6.2. отчет'!$D:$AGO,245,0)</f>
        <v>0</v>
      </c>
      <c r="J52" s="32">
        <f>VLOOKUP($A$11,'[1]6.2. отчет'!$D:$AGO,256,0)</f>
        <v>0</v>
      </c>
      <c r="K52" s="32">
        <f>VLOOKUP($A$11,'[1]6.2. отчет'!$D:$AGO,311,0)</f>
        <v>0</v>
      </c>
    </row>
    <row r="53" spans="1:11" s="44" customFormat="1" x14ac:dyDescent="0.25">
      <c r="A53" s="14" t="s">
        <v>76</v>
      </c>
      <c r="B53" s="7" t="s">
        <v>70</v>
      </c>
      <c r="C53" s="32">
        <f>VLOOKUP($A$11,'[1]6.2. отчет'!$D:$FX,168,0)</f>
        <v>0</v>
      </c>
      <c r="D53" s="32">
        <v>0</v>
      </c>
      <c r="E53" s="32">
        <f t="shared" si="4"/>
        <v>0</v>
      </c>
      <c r="F53" s="32">
        <v>0</v>
      </c>
      <c r="G53" s="32">
        <f>VLOOKUP($A$11,'[1]6.2. отчет'!$D:$GJ,180,0)</f>
        <v>0</v>
      </c>
      <c r="H53" s="32">
        <f>VLOOKUP($A$11,'[1]6.2. отчет'!$D:$AGO,191,0)</f>
        <v>0</v>
      </c>
      <c r="I53" s="32">
        <f>VLOOKUP($A$11,'[1]6.2. отчет'!$D:$AGO,246,0)</f>
        <v>0</v>
      </c>
      <c r="J53" s="32">
        <f>VLOOKUP($A$11,'[1]6.2. отчет'!$D:$AGO,257,0)</f>
        <v>0</v>
      </c>
      <c r="K53" s="32">
        <f>VLOOKUP($A$11,'[1]6.2. отчет'!$D:$AGO,312,0)</f>
        <v>0</v>
      </c>
    </row>
    <row r="54" spans="1:11" s="44" customFormat="1" x14ac:dyDescent="0.25">
      <c r="A54" s="14" t="s">
        <v>75</v>
      </c>
      <c r="B54" s="13" t="s">
        <v>69</v>
      </c>
      <c r="C54" s="32">
        <f>VLOOKUP($A$11,'[1]6.2. отчет'!$D:$FX,169,0)</f>
        <v>0</v>
      </c>
      <c r="D54" s="32">
        <v>0</v>
      </c>
      <c r="E54" s="32">
        <f t="shared" si="4"/>
        <v>0</v>
      </c>
      <c r="F54" s="32">
        <v>0</v>
      </c>
      <c r="G54" s="32">
        <f>VLOOKUP($A$11,'[1]6.2. отчет'!$D:$GJ,181,0)</f>
        <v>0</v>
      </c>
      <c r="H54" s="32">
        <f>VLOOKUP($A$11,'[1]6.2. отчет'!$D:$AGO,192,0)</f>
        <v>0</v>
      </c>
      <c r="I54" s="32">
        <f>VLOOKUP($A$11,'[1]6.2. отчет'!$D:$AGO,247,0)</f>
        <v>0</v>
      </c>
      <c r="J54" s="32">
        <f>VLOOKUP($A$11,'[1]6.2. отчет'!$D:$AGO,258,0)</f>
        <v>0</v>
      </c>
      <c r="K54" s="32">
        <f>VLOOKUP($A$11,'[1]6.2. отчет'!$D:$AGO,313,0)</f>
        <v>0</v>
      </c>
    </row>
    <row r="55" spans="1:11" s="44" customFormat="1" x14ac:dyDescent="0.25">
      <c r="A55" s="14" t="s">
        <v>74</v>
      </c>
      <c r="B55" s="13" t="s">
        <v>68</v>
      </c>
      <c r="C55" s="32">
        <f>VLOOKUP($A$11,'[1]6.2. отчет'!$D:$FX,170,0)</f>
        <v>0</v>
      </c>
      <c r="D55" s="32">
        <v>0</v>
      </c>
      <c r="E55" s="32">
        <f t="shared" si="4"/>
        <v>0</v>
      </c>
      <c r="F55" s="32">
        <v>0</v>
      </c>
      <c r="G55" s="32">
        <f>VLOOKUP($A$11,'[1]6.2. отчет'!$D:$GJ,182,0)</f>
        <v>0</v>
      </c>
      <c r="H55" s="32">
        <f>VLOOKUP($A$11,'[1]6.2. отчет'!$D:$AGO,193,0)</f>
        <v>0</v>
      </c>
      <c r="I55" s="32">
        <f>VLOOKUP($A$11,'[1]6.2. отчет'!$D:$AGO,248,0)</f>
        <v>0</v>
      </c>
      <c r="J55" s="32">
        <f>VLOOKUP($A$11,'[1]6.2. отчет'!$D:$AGO,259,0)</f>
        <v>0</v>
      </c>
      <c r="K55" s="32">
        <f>VLOOKUP($A$11,'[1]6.2. отчет'!$D:$AGO,314,0)</f>
        <v>0</v>
      </c>
    </row>
    <row r="56" spans="1:11" s="44" customFormat="1" x14ac:dyDescent="0.25">
      <c r="A56" s="14" t="s">
        <v>73</v>
      </c>
      <c r="B56" s="13" t="s">
        <v>67</v>
      </c>
      <c r="C56" s="32">
        <f>VLOOKUP($A$11,'[1]6.2. отчет'!$D:$FX,171,0)</f>
        <v>0</v>
      </c>
      <c r="D56" s="32">
        <v>0</v>
      </c>
      <c r="E56" s="32">
        <f t="shared" si="4"/>
        <v>0</v>
      </c>
      <c r="F56" s="32">
        <v>0</v>
      </c>
      <c r="G56" s="32">
        <f>VLOOKUP($A$11,'[1]6.2. отчет'!$D:$GJ,183,0)</f>
        <v>0</v>
      </c>
      <c r="H56" s="32">
        <f>VLOOKUP($A$11,'[1]6.2. отчет'!$D:$AGO,194,0)</f>
        <v>0</v>
      </c>
      <c r="I56" s="32">
        <f>VLOOKUP($A$11,'[1]6.2. отчет'!$D:$AGO,249,0)</f>
        <v>0</v>
      </c>
      <c r="J56" s="32">
        <f>VLOOKUP($A$11,'[1]6.2. отчет'!$D:$AGO,260,0)</f>
        <v>0</v>
      </c>
      <c r="K56" s="32">
        <f>VLOOKUP($A$11,'[1]6.2. отчет'!$D:$AGO,315,0)</f>
        <v>0</v>
      </c>
    </row>
    <row r="57" spans="1:11" s="44" customFormat="1" x14ac:dyDescent="0.25">
      <c r="A57" s="14" t="s">
        <v>72</v>
      </c>
      <c r="B57" s="7" t="s">
        <v>500</v>
      </c>
      <c r="C57" s="32">
        <f>VLOOKUP($A$11,'[1]6.2. отчет'!$D:$FX,177,0)</f>
        <v>0</v>
      </c>
      <c r="D57" s="32">
        <v>0</v>
      </c>
      <c r="E57" s="32"/>
      <c r="F57" s="32">
        <v>0</v>
      </c>
      <c r="G57" s="32">
        <f>VLOOKUP($A$11,'[1]6.2. отчет'!$D:$GJ,189,0)</f>
        <v>0</v>
      </c>
      <c r="H57" s="32">
        <f>VLOOKUP($A$11,'[1]6.2. отчет'!$D:$AGO,200,0)</f>
        <v>0</v>
      </c>
      <c r="I57" s="32">
        <f>VLOOKUP($A$11,'[1]6.2. отчет'!$D:$AGO,255,0)</f>
        <v>0</v>
      </c>
      <c r="J57" s="32">
        <f>VLOOKUP($A$11,'[1]6.2. отчет'!$D:$AGO,266,0)</f>
        <v>0</v>
      </c>
      <c r="K57" s="32">
        <f>VLOOKUP($A$11,'[1]6.2. отчет'!$D:$AGO,321,0)</f>
        <v>0</v>
      </c>
    </row>
    <row r="58" spans="1:11" s="148" customFormat="1" ht="36.75" customHeight="1" x14ac:dyDescent="0.25">
      <c r="A58" s="17" t="s">
        <v>48</v>
      </c>
      <c r="B58" s="71" t="s">
        <v>166</v>
      </c>
      <c r="C58" s="32"/>
      <c r="D58" s="32"/>
      <c r="E58" s="32">
        <f t="shared" ref="E58:E64" si="5">F58+G58</f>
        <v>0</v>
      </c>
      <c r="F58" s="32"/>
      <c r="G58" s="32"/>
      <c r="H58" s="32"/>
      <c r="I58" s="67"/>
      <c r="J58" s="32"/>
      <c r="K58" s="67"/>
    </row>
    <row r="59" spans="1:11" s="44" customFormat="1" x14ac:dyDescent="0.25">
      <c r="A59" s="17" t="s">
        <v>46</v>
      </c>
      <c r="B59" s="16" t="s">
        <v>71</v>
      </c>
      <c r="C59" s="32"/>
      <c r="D59" s="32"/>
      <c r="E59" s="32">
        <f t="shared" si="5"/>
        <v>0</v>
      </c>
      <c r="F59" s="32"/>
      <c r="G59" s="32"/>
      <c r="H59" s="32"/>
      <c r="I59" s="67"/>
      <c r="J59" s="32"/>
      <c r="K59" s="67"/>
    </row>
    <row r="60" spans="1:11" s="44" customFormat="1" x14ac:dyDescent="0.25">
      <c r="A60" s="14" t="s">
        <v>160</v>
      </c>
      <c r="B60" s="15" t="s">
        <v>91</v>
      </c>
      <c r="C60" s="32">
        <f>VLOOKUP($A$11,'[1]6.2. отчет'!$D:$AGO,326,0)</f>
        <v>0</v>
      </c>
      <c r="D60" s="32">
        <v>0</v>
      </c>
      <c r="E60" s="32">
        <f t="shared" si="5"/>
        <v>0</v>
      </c>
      <c r="F60" s="32">
        <v>0</v>
      </c>
      <c r="G60" s="32">
        <f>VLOOKUP($A$11,'[1]6.2. отчет'!$D:$AGO,333,0)</f>
        <v>0</v>
      </c>
      <c r="H60" s="32">
        <f>VLOOKUP($A$11,'[1]6.2. отчет'!$D:$AGO,341,0)</f>
        <v>0</v>
      </c>
      <c r="I60" s="32">
        <f>VLOOKUP($A$11,'[1]6.2. отчет'!$D:$AGO,366,0)</f>
        <v>0</v>
      </c>
      <c r="J60" s="32">
        <f>VLOOKUP($A$11,'[1]6.2. отчет'!$D:$AGO,371,0)</f>
        <v>0</v>
      </c>
      <c r="K60" s="32">
        <f>VLOOKUP($A$11,'[1]6.2. отчет'!$D:$AGO,396,0)</f>
        <v>0</v>
      </c>
    </row>
    <row r="61" spans="1:11" s="44" customFormat="1" x14ac:dyDescent="0.25">
      <c r="A61" s="14" t="s">
        <v>161</v>
      </c>
      <c r="B61" s="15" t="s">
        <v>89</v>
      </c>
      <c r="C61" s="32">
        <f>VLOOKUP($A$11,'[1]6.2. отчет'!$D:$AGO,327,0)</f>
        <v>0</v>
      </c>
      <c r="D61" s="32">
        <v>0</v>
      </c>
      <c r="E61" s="32">
        <f t="shared" si="5"/>
        <v>0</v>
      </c>
      <c r="F61" s="32">
        <v>0</v>
      </c>
      <c r="G61" s="32">
        <f>VLOOKUP($A$11,'[1]6.2. отчет'!$D:$AGO,334,0)</f>
        <v>0</v>
      </c>
      <c r="H61" s="32">
        <f>VLOOKUP($A$11,'[1]6.2. отчет'!$D:$AGO,338,0)</f>
        <v>0</v>
      </c>
      <c r="I61" s="32">
        <f>VLOOKUP($A$11,'[1]6.2. отчет'!$D:$AGO,363,0)</f>
        <v>0</v>
      </c>
      <c r="J61" s="32">
        <f>VLOOKUP($A$11,'[1]6.2. отчет'!$D:$AGO,368,0)</f>
        <v>0</v>
      </c>
      <c r="K61" s="32">
        <f>VLOOKUP($A$11,'[1]6.2. отчет'!$D:$AGO,393,0)</f>
        <v>0</v>
      </c>
    </row>
    <row r="62" spans="1:11" s="44" customFormat="1" x14ac:dyDescent="0.25">
      <c r="A62" s="14" t="s">
        <v>162</v>
      </c>
      <c r="B62" s="15" t="s">
        <v>87</v>
      </c>
      <c r="C62" s="32">
        <f>VLOOKUP($A$11,'[1]6.2. отчет'!$D:$AGO,328,0)</f>
        <v>0</v>
      </c>
      <c r="D62" s="32">
        <v>0</v>
      </c>
      <c r="E62" s="32">
        <f t="shared" si="5"/>
        <v>0</v>
      </c>
      <c r="F62" s="32">
        <v>0</v>
      </c>
      <c r="G62" s="32">
        <f>VLOOKUP($A$11,'[1]6.2. отчет'!$D:$AGO,335,0)</f>
        <v>0</v>
      </c>
      <c r="H62" s="32">
        <f>VLOOKUP($A$11,'[1]6.2. отчет'!$D:$AGO,339,0)</f>
        <v>0</v>
      </c>
      <c r="I62" s="32">
        <f>VLOOKUP($A$11,'[1]6.2. отчет'!$D:$AGO,364,0)</f>
        <v>0</v>
      </c>
      <c r="J62" s="32">
        <f>VLOOKUP($A$11,'[1]6.2. отчет'!$D:$AGO,369,0)</f>
        <v>0</v>
      </c>
      <c r="K62" s="32">
        <f>VLOOKUP($A$11,'[1]6.2. отчет'!$D:$AGO,394,0)</f>
        <v>0</v>
      </c>
    </row>
    <row r="63" spans="1:11" s="44" customFormat="1" x14ac:dyDescent="0.25">
      <c r="A63" s="14" t="s">
        <v>163</v>
      </c>
      <c r="B63" s="15" t="s">
        <v>165</v>
      </c>
      <c r="C63" s="32">
        <f>VLOOKUP($A$11,'[1]6.2. отчет'!$D:$AGO,329,0)</f>
        <v>0</v>
      </c>
      <c r="D63" s="32">
        <v>0</v>
      </c>
      <c r="E63" s="32">
        <f t="shared" si="5"/>
        <v>0</v>
      </c>
      <c r="F63" s="32">
        <v>0</v>
      </c>
      <c r="G63" s="32">
        <f>VLOOKUP($A$11,'[1]6.2. отчет'!$D:$AGO,336,0)</f>
        <v>0</v>
      </c>
      <c r="H63" s="32">
        <f>VLOOKUP($A$11,'[1]6.2. отчет'!$D:$AGO,340,0)</f>
        <v>0</v>
      </c>
      <c r="I63" s="32">
        <f>VLOOKUP($A$11,'[1]6.2. отчет'!$D:$AGO,365,0)</f>
        <v>0</v>
      </c>
      <c r="J63" s="32">
        <f>VLOOKUP($A$11,'[1]6.2. отчет'!$D:$AGO,370,0)</f>
        <v>0</v>
      </c>
      <c r="K63" s="32">
        <f>VLOOKUP($A$11,'[1]6.2. отчет'!$D:$AGO,395,0)</f>
        <v>0</v>
      </c>
    </row>
    <row r="64" spans="1:11" s="44" customFormat="1" ht="18.75" x14ac:dyDescent="0.25">
      <c r="A64" s="14" t="s">
        <v>164</v>
      </c>
      <c r="B64" s="13" t="s">
        <v>66</v>
      </c>
      <c r="C64" s="32">
        <f>VLOOKUP($A$11,'[1]6.2. отчет'!$D:$AGO,330,0)</f>
        <v>0</v>
      </c>
      <c r="D64" s="32">
        <v>0</v>
      </c>
      <c r="E64" s="32">
        <f t="shared" si="5"/>
        <v>0</v>
      </c>
      <c r="F64" s="32">
        <v>0</v>
      </c>
      <c r="G64" s="32">
        <f>VLOOKUP($A$11,'[1]6.2. отчет'!$D:$AGO,337,0)</f>
        <v>0</v>
      </c>
      <c r="H64" s="32">
        <f>VLOOKUP($A$11,'[1]6.2. отчет'!$D:$AGO,342,0)</f>
        <v>0</v>
      </c>
      <c r="I64" s="32">
        <f>VLOOKUP($A$11,'[1]6.2. отчет'!$D:$AGO,367,0)</f>
        <v>0</v>
      </c>
      <c r="J64" s="32">
        <f>VLOOKUP($A$11,'[1]6.2. отчет'!$D:$AGO,372,0)</f>
        <v>0</v>
      </c>
      <c r="K64" s="32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</row>
    <row r="68" spans="1:11" ht="50.25" customHeight="1" x14ac:dyDescent="0.25">
      <c r="B68" s="291"/>
      <c r="C68" s="291"/>
      <c r="D68" s="291"/>
      <c r="E68" s="291"/>
      <c r="F68" s="291"/>
      <c r="G68" s="291"/>
      <c r="H68" s="291"/>
      <c r="I68" s="291"/>
      <c r="J68" s="291"/>
      <c r="K68" s="291"/>
    </row>
    <row r="70" spans="1:11" ht="36.75" customHeight="1" x14ac:dyDescent="0.25">
      <c r="B70" s="290"/>
      <c r="C70" s="290"/>
      <c r="D70" s="290"/>
      <c r="E70" s="290"/>
      <c r="F70" s="290"/>
      <c r="G70" s="290"/>
      <c r="H70" s="290"/>
      <c r="I70" s="290"/>
      <c r="J70" s="290"/>
      <c r="K70" s="290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290"/>
      <c r="C72" s="290"/>
      <c r="D72" s="290"/>
      <c r="E72" s="290"/>
      <c r="F72" s="290"/>
      <c r="G72" s="290"/>
      <c r="H72" s="290"/>
      <c r="I72" s="290"/>
      <c r="J72" s="290"/>
      <c r="K72" s="290"/>
    </row>
    <row r="73" spans="1:11" ht="32.25" customHeight="1" x14ac:dyDescent="0.25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pans="1:11" ht="51.75" customHeight="1" x14ac:dyDescent="0.25">
      <c r="B74" s="290"/>
      <c r="C74" s="290"/>
      <c r="D74" s="290"/>
      <c r="E74" s="290"/>
      <c r="F74" s="290"/>
      <c r="G74" s="290"/>
      <c r="H74" s="290"/>
      <c r="I74" s="290"/>
      <c r="J74" s="290"/>
      <c r="K74" s="290"/>
    </row>
    <row r="75" spans="1:11" ht="21.75" customHeight="1" x14ac:dyDescent="0.25">
      <c r="B75" s="292"/>
      <c r="C75" s="292"/>
      <c r="D75" s="292"/>
      <c r="E75" s="292"/>
      <c r="F75" s="292"/>
      <c r="G75" s="292"/>
      <c r="H75" s="292"/>
      <c r="I75" s="292"/>
      <c r="J75" s="292"/>
      <c r="K75" s="292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289"/>
      <c r="C77" s="289"/>
      <c r="D77" s="289"/>
      <c r="E77" s="289"/>
      <c r="F77" s="289"/>
      <c r="G77" s="289"/>
      <c r="H77" s="289"/>
      <c r="I77" s="289"/>
      <c r="J77" s="289"/>
      <c r="K77" s="289"/>
    </row>
  </sheetData>
  <mergeCells count="26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B77:K77"/>
    <mergeCell ref="B66:K66"/>
    <mergeCell ref="B68:K68"/>
    <mergeCell ref="B70:K70"/>
    <mergeCell ref="B72:K72"/>
    <mergeCell ref="B73:K73"/>
    <mergeCell ref="B74:K74"/>
    <mergeCell ref="B75:K75"/>
  </mergeCells>
  <phoneticPr fontId="48" type="noConversion"/>
  <conditionalFormatting sqref="K30">
    <cfRule type="cellIs" dxfId="6" priority="9" operator="notEqual">
      <formula>K31+K32+K33+K34</formula>
    </cfRule>
  </conditionalFormatting>
  <conditionalFormatting sqref="J30">
    <cfRule type="cellIs" dxfId="5" priority="8" operator="notEqual">
      <formula>J31+J32+J33+J34</formula>
    </cfRule>
  </conditionalFormatting>
  <conditionalFormatting sqref="I30">
    <cfRule type="cellIs" dxfId="4" priority="7" operator="notEqual">
      <formula>I31+I32+I33+I34</formula>
    </cfRule>
  </conditionalFormatting>
  <conditionalFormatting sqref="H30">
    <cfRule type="cellIs" dxfId="3" priority="6" operator="notEqual">
      <formula>H31+H32+H33+H34</formula>
    </cfRule>
  </conditionalFormatting>
  <conditionalFormatting sqref="G30">
    <cfRule type="cellIs" dxfId="2" priority="5" operator="notEqual">
      <formula>G31+G32+G33+G34</formula>
    </cfRule>
  </conditionalFormatting>
  <conditionalFormatting sqref="F30">
    <cfRule type="cellIs" dxfId="1" priority="4" operator="notEqual">
      <formula>F31+F32+F33+F34</formula>
    </cfRule>
  </conditionalFormatting>
  <conditionalFormatting sqref="E30">
    <cfRule type="cellIs" dxfId="0" priority="3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1"/>
  <sheetViews>
    <sheetView view="pageBreakPreview" topLeftCell="K19" zoomScale="70" zoomScaleNormal="100" zoomScaleSheetLayoutView="70" workbookViewId="0">
      <selection activeCell="AI26" sqref="AI26"/>
    </sheetView>
  </sheetViews>
  <sheetFormatPr defaultRowHeight="15" x14ac:dyDescent="0.25"/>
  <cols>
    <col min="1" max="1" width="6.140625" style="129" customWidth="1"/>
    <col min="2" max="2" width="23.140625" style="129" customWidth="1"/>
    <col min="3" max="3" width="18.28515625" style="129" bestFit="1" customWidth="1"/>
    <col min="4" max="4" width="15.140625" style="129" customWidth="1"/>
    <col min="5" max="12" width="7.7109375" style="129" customWidth="1"/>
    <col min="13" max="13" width="14.5703125" style="129" customWidth="1"/>
    <col min="14" max="15" width="10.7109375" style="129" customWidth="1"/>
    <col min="16" max="17" width="13.42578125" style="129" customWidth="1"/>
    <col min="18" max="18" width="17" style="129" customWidth="1"/>
    <col min="19" max="20" width="9.7109375" style="129" customWidth="1"/>
    <col min="21" max="21" width="11.42578125" style="129" customWidth="1"/>
    <col min="22" max="22" width="12.7109375" style="129" customWidth="1"/>
    <col min="23" max="23" width="19" style="129" customWidth="1"/>
    <col min="24" max="25" width="10.7109375" style="129" customWidth="1"/>
    <col min="26" max="26" width="7.7109375" style="129" customWidth="1"/>
    <col min="27" max="28" width="10.7109375" style="129" customWidth="1"/>
    <col min="29" max="29" width="15" style="129" customWidth="1"/>
    <col min="30" max="30" width="10.7109375" style="129" customWidth="1"/>
    <col min="31" max="31" width="15.85546875" style="129" customWidth="1"/>
    <col min="32" max="32" width="11.7109375" style="129" customWidth="1"/>
    <col min="33" max="33" width="11.5703125" style="129" customWidth="1"/>
    <col min="34" max="34" width="13.85546875" style="129" customWidth="1"/>
    <col min="35" max="35" width="13.42578125" style="129" customWidth="1"/>
    <col min="36" max="36" width="14" style="129" customWidth="1"/>
    <col min="37" max="37" width="14.140625" style="129" customWidth="1"/>
    <col min="38" max="39" width="13.28515625" style="129" customWidth="1"/>
    <col min="40" max="40" width="10.7109375" style="129" customWidth="1"/>
    <col min="41" max="41" width="15.7109375" style="129" customWidth="1"/>
    <col min="42" max="16384" width="9.140625" style="129"/>
  </cols>
  <sheetData>
    <row r="1" spans="1:41" ht="18.75" x14ac:dyDescent="0.25">
      <c r="AO1" s="34" t="s">
        <v>58</v>
      </c>
    </row>
    <row r="2" spans="1:41" ht="18.75" x14ac:dyDescent="0.3">
      <c r="AO2" s="35" t="s">
        <v>7</v>
      </c>
    </row>
    <row r="3" spans="1:41" ht="18.75" x14ac:dyDescent="0.3">
      <c r="AO3" s="35" t="s">
        <v>57</v>
      </c>
    </row>
    <row r="4" spans="1:41" ht="18.75" x14ac:dyDescent="0.3">
      <c r="AO4" s="35"/>
    </row>
    <row r="5" spans="1:41" ht="18.75" customHeight="1" x14ac:dyDescent="0.25">
      <c r="A5" s="224" t="str">
        <f>'1. паспорт местоположение'!$A$5</f>
        <v>Год раскрытия информации: 2019 год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</row>
    <row r="6" spans="1:41" ht="18.75" x14ac:dyDescent="0.3">
      <c r="AO6" s="35"/>
    </row>
    <row r="7" spans="1:41" ht="18.75" x14ac:dyDescent="0.25">
      <c r="A7" s="228" t="s">
        <v>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</row>
    <row r="8" spans="1:41" ht="18.75" x14ac:dyDescent="0.25">
      <c r="A8" s="228"/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</row>
    <row r="9" spans="1:41" ht="15.75" x14ac:dyDescent="0.25">
      <c r="A9" s="229" t="s">
        <v>289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29"/>
    </row>
    <row r="10" spans="1:41" ht="15.75" x14ac:dyDescent="0.25">
      <c r="A10" s="230" t="s">
        <v>5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  <c r="AL10" s="230"/>
      <c r="AM10" s="230"/>
      <c r="AN10" s="230"/>
      <c r="AO10" s="230"/>
    </row>
    <row r="11" spans="1:41" ht="18.75" x14ac:dyDescent="0.25">
      <c r="A11" s="228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228"/>
    </row>
    <row r="12" spans="1:41" ht="15.75" x14ac:dyDescent="0.25">
      <c r="A12" s="229" t="s">
        <v>471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  <c r="AF12" s="229"/>
      <c r="AG12" s="229"/>
      <c r="AH12" s="229"/>
      <c r="AI12" s="229"/>
      <c r="AJ12" s="229"/>
      <c r="AK12" s="229"/>
      <c r="AL12" s="229"/>
      <c r="AM12" s="229"/>
      <c r="AN12" s="229"/>
      <c r="AO12" s="229"/>
    </row>
    <row r="13" spans="1:41" ht="15.75" x14ac:dyDescent="0.25">
      <c r="A13" s="230" t="s">
        <v>4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0"/>
      <c r="AD13" s="230"/>
      <c r="AE13" s="230"/>
      <c r="AF13" s="230"/>
      <c r="AG13" s="230"/>
      <c r="AH13" s="230"/>
      <c r="AI13" s="230"/>
      <c r="AJ13" s="230"/>
      <c r="AK13" s="230"/>
      <c r="AL13" s="230"/>
      <c r="AM13" s="230"/>
      <c r="AN13" s="230"/>
      <c r="AO13" s="230"/>
    </row>
    <row r="14" spans="1:41" ht="18.75" x14ac:dyDescent="0.25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39"/>
      <c r="AL14" s="239"/>
      <c r="AM14" s="239"/>
      <c r="AN14" s="239"/>
      <c r="AO14" s="239"/>
    </row>
    <row r="15" spans="1:41" ht="15.75" x14ac:dyDescent="0.25">
      <c r="A15" s="229" t="s">
        <v>472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  <c r="AG15" s="229"/>
      <c r="AH15" s="229"/>
      <c r="AI15" s="229"/>
      <c r="AJ15" s="229"/>
      <c r="AK15" s="229"/>
      <c r="AL15" s="229"/>
      <c r="AM15" s="229"/>
      <c r="AN15" s="229"/>
      <c r="AO15" s="229"/>
    </row>
    <row r="16" spans="1:41" ht="15.75" x14ac:dyDescent="0.25">
      <c r="A16" s="230" t="s">
        <v>3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30"/>
      <c r="Z16" s="230"/>
      <c r="AA16" s="230"/>
      <c r="AB16" s="230"/>
      <c r="AC16" s="230"/>
      <c r="AD16" s="230"/>
      <c r="AE16" s="230"/>
      <c r="AF16" s="230"/>
      <c r="AG16" s="230"/>
      <c r="AH16" s="230"/>
      <c r="AI16" s="230"/>
      <c r="AJ16" s="230"/>
      <c r="AK16" s="230"/>
      <c r="AL16" s="230"/>
      <c r="AM16" s="230"/>
      <c r="AN16" s="230"/>
      <c r="AO16" s="230"/>
    </row>
    <row r="17" spans="1:41" x14ac:dyDescent="0.25">
      <c r="A17" s="325"/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325"/>
      <c r="Z17" s="325"/>
      <c r="AA17" s="325"/>
      <c r="AB17" s="325"/>
      <c r="AC17" s="325"/>
      <c r="AD17" s="325"/>
      <c r="AE17" s="325"/>
      <c r="AF17" s="325"/>
      <c r="AG17" s="325"/>
      <c r="AH17" s="325"/>
      <c r="AI17" s="325"/>
      <c r="AJ17" s="325"/>
      <c r="AK17" s="325"/>
      <c r="AL17" s="325"/>
      <c r="AM17" s="325"/>
      <c r="AN17" s="325"/>
      <c r="AO17" s="325"/>
    </row>
    <row r="18" spans="1:41" ht="14.25" customHeight="1" x14ac:dyDescent="0.25">
      <c r="A18" s="325"/>
      <c r="B18" s="325"/>
      <c r="C18" s="325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</row>
    <row r="19" spans="1:41" x14ac:dyDescent="0.25">
      <c r="A19" s="325"/>
      <c r="B19" s="325"/>
      <c r="C19" s="325"/>
      <c r="D19" s="325"/>
      <c r="E19" s="325"/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325"/>
      <c r="W19" s="325"/>
      <c r="X19" s="325"/>
      <c r="Y19" s="325"/>
      <c r="Z19" s="325"/>
      <c r="AA19" s="325"/>
      <c r="AB19" s="325"/>
      <c r="AC19" s="325"/>
      <c r="AD19" s="325"/>
      <c r="AE19" s="325"/>
      <c r="AF19" s="325"/>
      <c r="AG19" s="325"/>
      <c r="AH19" s="325"/>
      <c r="AI19" s="325"/>
      <c r="AJ19" s="325"/>
      <c r="AK19" s="325"/>
      <c r="AL19" s="325"/>
      <c r="AM19" s="325"/>
      <c r="AN19" s="325"/>
      <c r="AO19" s="325"/>
    </row>
    <row r="20" spans="1:41" x14ac:dyDescent="0.25">
      <c r="A20" s="325"/>
      <c r="B20" s="325"/>
      <c r="C20" s="325"/>
      <c r="D20" s="325"/>
      <c r="E20" s="325"/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</row>
    <row r="21" spans="1:41" x14ac:dyDescent="0.25">
      <c r="A21" s="315" t="s">
        <v>279</v>
      </c>
      <c r="B21" s="315"/>
      <c r="C21" s="315"/>
      <c r="D21" s="315"/>
      <c r="E21" s="315"/>
      <c r="F21" s="315"/>
      <c r="G21" s="315"/>
      <c r="H21" s="315"/>
      <c r="I21" s="315"/>
      <c r="J21" s="315"/>
      <c r="K21" s="315"/>
      <c r="L21" s="315"/>
      <c r="M21" s="315"/>
      <c r="N21" s="315"/>
      <c r="O21" s="315"/>
      <c r="P21" s="315"/>
      <c r="Q21" s="315"/>
      <c r="R21" s="315"/>
      <c r="S21" s="315"/>
      <c r="T21" s="315"/>
      <c r="U21" s="315"/>
      <c r="V21" s="315"/>
      <c r="W21" s="315"/>
      <c r="X21" s="315"/>
      <c r="Y21" s="315"/>
      <c r="Z21" s="315"/>
      <c r="AA21" s="315"/>
      <c r="AB21" s="315"/>
      <c r="AC21" s="315"/>
      <c r="AD21" s="315"/>
      <c r="AE21" s="315"/>
      <c r="AF21" s="315"/>
      <c r="AG21" s="315"/>
      <c r="AH21" s="315"/>
      <c r="AI21" s="315"/>
      <c r="AJ21" s="315"/>
      <c r="AK21" s="315"/>
      <c r="AL21" s="315"/>
      <c r="AM21" s="315"/>
      <c r="AN21" s="315"/>
      <c r="AO21" s="315"/>
    </row>
    <row r="22" spans="1:41" s="130" customFormat="1" ht="58.5" customHeight="1" x14ac:dyDescent="0.25">
      <c r="A22" s="311" t="s">
        <v>42</v>
      </c>
      <c r="B22" s="316" t="s">
        <v>15</v>
      </c>
      <c r="C22" s="311" t="s">
        <v>41</v>
      </c>
      <c r="D22" s="311" t="s">
        <v>40</v>
      </c>
      <c r="E22" s="319" t="s">
        <v>285</v>
      </c>
      <c r="F22" s="320"/>
      <c r="G22" s="320"/>
      <c r="H22" s="320"/>
      <c r="I22" s="320"/>
      <c r="J22" s="320"/>
      <c r="K22" s="320"/>
      <c r="L22" s="321"/>
      <c r="M22" s="311" t="s">
        <v>39</v>
      </c>
      <c r="N22" s="311" t="s">
        <v>38</v>
      </c>
      <c r="O22" s="311" t="s">
        <v>37</v>
      </c>
      <c r="P22" s="304" t="s">
        <v>169</v>
      </c>
      <c r="Q22" s="304" t="s">
        <v>36</v>
      </c>
      <c r="R22" s="304" t="s">
        <v>35</v>
      </c>
      <c r="S22" s="304" t="s">
        <v>34</v>
      </c>
      <c r="T22" s="304"/>
      <c r="U22" s="322" t="s">
        <v>33</v>
      </c>
      <c r="V22" s="322" t="s">
        <v>32</v>
      </c>
      <c r="W22" s="304" t="s">
        <v>31</v>
      </c>
      <c r="X22" s="304" t="s">
        <v>30</v>
      </c>
      <c r="Y22" s="304" t="s">
        <v>29</v>
      </c>
      <c r="Z22" s="314" t="s">
        <v>28</v>
      </c>
      <c r="AA22" s="304" t="s">
        <v>27</v>
      </c>
      <c r="AB22" s="304" t="s">
        <v>26</v>
      </c>
      <c r="AC22" s="304" t="s">
        <v>25</v>
      </c>
      <c r="AD22" s="304" t="s">
        <v>24</v>
      </c>
      <c r="AE22" s="304" t="s">
        <v>23</v>
      </c>
      <c r="AF22" s="304" t="s">
        <v>22</v>
      </c>
      <c r="AG22" s="304"/>
      <c r="AH22" s="304"/>
      <c r="AI22" s="304" t="s">
        <v>21</v>
      </c>
      <c r="AJ22" s="304"/>
      <c r="AK22" s="304" t="s">
        <v>20</v>
      </c>
      <c r="AL22" s="304" t="s">
        <v>19</v>
      </c>
      <c r="AM22" s="304" t="s">
        <v>18</v>
      </c>
      <c r="AN22" s="304" t="s">
        <v>17</v>
      </c>
      <c r="AO22" s="304" t="s">
        <v>16</v>
      </c>
    </row>
    <row r="23" spans="1:41" s="130" customFormat="1" ht="64.5" customHeight="1" x14ac:dyDescent="0.25">
      <c r="A23" s="313"/>
      <c r="B23" s="317"/>
      <c r="C23" s="313"/>
      <c r="D23" s="313"/>
      <c r="E23" s="323" t="s">
        <v>14</v>
      </c>
      <c r="F23" s="305" t="s">
        <v>70</v>
      </c>
      <c r="G23" s="305" t="s">
        <v>69</v>
      </c>
      <c r="H23" s="305" t="s">
        <v>68</v>
      </c>
      <c r="I23" s="307" t="s">
        <v>224</v>
      </c>
      <c r="J23" s="307" t="s">
        <v>225</v>
      </c>
      <c r="K23" s="307" t="s">
        <v>226</v>
      </c>
      <c r="L23" s="305" t="s">
        <v>65</v>
      </c>
      <c r="M23" s="313"/>
      <c r="N23" s="313"/>
      <c r="O23" s="313"/>
      <c r="P23" s="304"/>
      <c r="Q23" s="304"/>
      <c r="R23" s="304"/>
      <c r="S23" s="311" t="s">
        <v>1</v>
      </c>
      <c r="T23" s="311" t="s">
        <v>8</v>
      </c>
      <c r="U23" s="322"/>
      <c r="V23" s="322"/>
      <c r="W23" s="304"/>
      <c r="X23" s="304"/>
      <c r="Y23" s="304"/>
      <c r="Z23" s="304"/>
      <c r="AA23" s="304"/>
      <c r="AB23" s="304"/>
      <c r="AC23" s="304"/>
      <c r="AD23" s="304"/>
      <c r="AE23" s="304"/>
      <c r="AF23" s="304" t="s">
        <v>13</v>
      </c>
      <c r="AG23" s="304"/>
      <c r="AH23" s="311" t="s">
        <v>12</v>
      </c>
      <c r="AI23" s="311" t="s">
        <v>11</v>
      </c>
      <c r="AJ23" s="309" t="s">
        <v>8</v>
      </c>
      <c r="AK23" s="304"/>
      <c r="AL23" s="304"/>
      <c r="AM23" s="304"/>
      <c r="AN23" s="304"/>
      <c r="AO23" s="304"/>
    </row>
    <row r="24" spans="1:41" s="130" customFormat="1" ht="96.75" customHeight="1" x14ac:dyDescent="0.25">
      <c r="A24" s="312"/>
      <c r="B24" s="318"/>
      <c r="C24" s="312"/>
      <c r="D24" s="312"/>
      <c r="E24" s="324"/>
      <c r="F24" s="306"/>
      <c r="G24" s="306"/>
      <c r="H24" s="306"/>
      <c r="I24" s="308"/>
      <c r="J24" s="308"/>
      <c r="K24" s="308"/>
      <c r="L24" s="306"/>
      <c r="M24" s="312"/>
      <c r="N24" s="312"/>
      <c r="O24" s="312"/>
      <c r="P24" s="304"/>
      <c r="Q24" s="304"/>
      <c r="R24" s="304"/>
      <c r="S24" s="312"/>
      <c r="T24" s="312"/>
      <c r="U24" s="322"/>
      <c r="V24" s="322"/>
      <c r="W24" s="304"/>
      <c r="X24" s="304"/>
      <c r="Y24" s="304"/>
      <c r="Z24" s="304"/>
      <c r="AA24" s="304"/>
      <c r="AB24" s="304"/>
      <c r="AC24" s="304"/>
      <c r="AD24" s="304"/>
      <c r="AE24" s="304"/>
      <c r="AF24" s="131" t="s">
        <v>10</v>
      </c>
      <c r="AG24" s="131" t="s">
        <v>9</v>
      </c>
      <c r="AH24" s="312"/>
      <c r="AI24" s="312"/>
      <c r="AJ24" s="310"/>
      <c r="AK24" s="304"/>
      <c r="AL24" s="304"/>
      <c r="AM24" s="304"/>
      <c r="AN24" s="304"/>
      <c r="AO24" s="304"/>
    </row>
    <row r="25" spans="1:41" s="130" customFormat="1" x14ac:dyDescent="0.25">
      <c r="A25" s="132">
        <v>1</v>
      </c>
      <c r="B25" s="132">
        <v>2</v>
      </c>
      <c r="C25" s="132">
        <v>4</v>
      </c>
      <c r="D25" s="132">
        <v>5</v>
      </c>
      <c r="E25" s="132">
        <v>6</v>
      </c>
      <c r="F25" s="132">
        <f t="shared" ref="F25:AO25" si="0">E25+1</f>
        <v>7</v>
      </c>
      <c r="G25" s="132">
        <f t="shared" si="0"/>
        <v>8</v>
      </c>
      <c r="H25" s="132">
        <f t="shared" si="0"/>
        <v>9</v>
      </c>
      <c r="I25" s="132">
        <f t="shared" si="0"/>
        <v>10</v>
      </c>
      <c r="J25" s="132">
        <f t="shared" si="0"/>
        <v>11</v>
      </c>
      <c r="K25" s="132">
        <f t="shared" si="0"/>
        <v>12</v>
      </c>
      <c r="L25" s="132">
        <f t="shared" si="0"/>
        <v>13</v>
      </c>
      <c r="M25" s="132">
        <f t="shared" si="0"/>
        <v>14</v>
      </c>
      <c r="N25" s="132">
        <f t="shared" si="0"/>
        <v>15</v>
      </c>
      <c r="O25" s="132">
        <f t="shared" si="0"/>
        <v>16</v>
      </c>
      <c r="P25" s="132">
        <f t="shared" si="0"/>
        <v>17</v>
      </c>
      <c r="Q25" s="132">
        <f t="shared" si="0"/>
        <v>18</v>
      </c>
      <c r="R25" s="132">
        <f t="shared" si="0"/>
        <v>19</v>
      </c>
      <c r="S25" s="132">
        <f t="shared" si="0"/>
        <v>20</v>
      </c>
      <c r="T25" s="132">
        <f t="shared" si="0"/>
        <v>21</v>
      </c>
      <c r="U25" s="132">
        <f t="shared" si="0"/>
        <v>22</v>
      </c>
      <c r="V25" s="132">
        <f t="shared" si="0"/>
        <v>23</v>
      </c>
      <c r="W25" s="132">
        <f t="shared" si="0"/>
        <v>24</v>
      </c>
      <c r="X25" s="132">
        <f t="shared" si="0"/>
        <v>25</v>
      </c>
      <c r="Y25" s="132">
        <f t="shared" si="0"/>
        <v>26</v>
      </c>
      <c r="Z25" s="132">
        <f t="shared" si="0"/>
        <v>27</v>
      </c>
      <c r="AA25" s="132">
        <f t="shared" si="0"/>
        <v>28</v>
      </c>
      <c r="AB25" s="132">
        <f t="shared" si="0"/>
        <v>29</v>
      </c>
      <c r="AC25" s="132">
        <f t="shared" si="0"/>
        <v>30</v>
      </c>
      <c r="AD25" s="132">
        <f t="shared" si="0"/>
        <v>31</v>
      </c>
      <c r="AE25" s="132">
        <f t="shared" si="0"/>
        <v>32</v>
      </c>
      <c r="AF25" s="132">
        <f t="shared" si="0"/>
        <v>33</v>
      </c>
      <c r="AG25" s="132">
        <f t="shared" si="0"/>
        <v>34</v>
      </c>
      <c r="AH25" s="132">
        <f t="shared" si="0"/>
        <v>35</v>
      </c>
      <c r="AI25" s="132">
        <f t="shared" si="0"/>
        <v>36</v>
      </c>
      <c r="AJ25" s="132">
        <f t="shared" si="0"/>
        <v>37</v>
      </c>
      <c r="AK25" s="132">
        <f t="shared" si="0"/>
        <v>38</v>
      </c>
      <c r="AL25" s="132">
        <f t="shared" si="0"/>
        <v>39</v>
      </c>
      <c r="AM25" s="132">
        <f t="shared" si="0"/>
        <v>40</v>
      </c>
      <c r="AN25" s="132">
        <f t="shared" si="0"/>
        <v>41</v>
      </c>
      <c r="AO25" s="132">
        <f t="shared" si="0"/>
        <v>42</v>
      </c>
    </row>
    <row r="26" spans="1:41" s="130" customFormat="1" ht="165" x14ac:dyDescent="0.25">
      <c r="A26" s="133">
        <v>1</v>
      </c>
      <c r="B26" s="134" t="s">
        <v>289</v>
      </c>
      <c r="C26" s="134" t="s">
        <v>509</v>
      </c>
      <c r="D26" s="133" t="s">
        <v>504</v>
      </c>
      <c r="E26" s="133">
        <v>0</v>
      </c>
      <c r="F26" s="133">
        <v>0</v>
      </c>
      <c r="G26" s="133">
        <v>0</v>
      </c>
      <c r="H26" s="133">
        <v>0</v>
      </c>
      <c r="I26" s="133">
        <v>0</v>
      </c>
      <c r="J26" s="133">
        <v>0</v>
      </c>
      <c r="K26" s="133">
        <v>0</v>
      </c>
      <c r="L26" s="194">
        <v>0.54149999999999998</v>
      </c>
      <c r="M26" s="134" t="s">
        <v>505</v>
      </c>
      <c r="N26" s="134" t="s">
        <v>294</v>
      </c>
      <c r="O26" s="134" t="s">
        <v>295</v>
      </c>
      <c r="P26" s="137">
        <v>120000</v>
      </c>
      <c r="Q26" s="144" t="s">
        <v>291</v>
      </c>
      <c r="R26" s="137">
        <v>120000</v>
      </c>
      <c r="S26" s="134" t="s">
        <v>512</v>
      </c>
      <c r="T26" s="134" t="s">
        <v>512</v>
      </c>
      <c r="U26" s="133">
        <v>3</v>
      </c>
      <c r="V26" s="133">
        <v>2</v>
      </c>
      <c r="W26" s="141" t="s">
        <v>510</v>
      </c>
      <c r="X26" s="135" t="s">
        <v>297</v>
      </c>
      <c r="Y26" s="134" t="s">
        <v>507</v>
      </c>
      <c r="Z26" s="136">
        <v>1</v>
      </c>
      <c r="AA26" s="135" t="s">
        <v>298</v>
      </c>
      <c r="AB26" s="137">
        <v>100483.14</v>
      </c>
      <c r="AC26" s="135" t="s">
        <v>299</v>
      </c>
      <c r="AD26" s="137">
        <v>118570.1</v>
      </c>
      <c r="AE26" s="201">
        <v>0</v>
      </c>
      <c r="AF26" s="132" t="s">
        <v>307</v>
      </c>
      <c r="AG26" s="200" t="s">
        <v>506</v>
      </c>
      <c r="AH26" s="139" t="s">
        <v>300</v>
      </c>
      <c r="AI26" s="139" t="s">
        <v>300</v>
      </c>
      <c r="AJ26" s="139" t="s">
        <v>300</v>
      </c>
      <c r="AK26" s="139" t="s">
        <v>300</v>
      </c>
      <c r="AL26" s="139" t="s">
        <v>300</v>
      </c>
      <c r="AM26" s="139" t="s">
        <v>301</v>
      </c>
      <c r="AN26" s="134" t="s">
        <v>292</v>
      </c>
      <c r="AO26" s="134" t="s">
        <v>513</v>
      </c>
    </row>
    <row r="27" spans="1:41" s="130" customFormat="1" ht="60" x14ac:dyDescent="0.25">
      <c r="A27" s="132">
        <v>2</v>
      </c>
      <c r="B27" s="134" t="s">
        <v>289</v>
      </c>
      <c r="C27" s="134" t="s">
        <v>509</v>
      </c>
      <c r="D27" s="133" t="s">
        <v>504</v>
      </c>
      <c r="E27" s="133">
        <v>0</v>
      </c>
      <c r="F27" s="133">
        <v>0</v>
      </c>
      <c r="G27" s="133">
        <v>0</v>
      </c>
      <c r="H27" s="133">
        <v>0</v>
      </c>
      <c r="I27" s="133">
        <v>0</v>
      </c>
      <c r="J27" s="133">
        <v>0</v>
      </c>
      <c r="K27" s="133">
        <v>0</v>
      </c>
      <c r="L27" s="194">
        <v>0.54149999999999998</v>
      </c>
      <c r="M27" s="134" t="s">
        <v>505</v>
      </c>
      <c r="N27" s="134" t="s">
        <v>294</v>
      </c>
      <c r="O27" s="134" t="s">
        <v>295</v>
      </c>
      <c r="P27" s="137">
        <v>98230</v>
      </c>
      <c r="Q27" s="144" t="s">
        <v>291</v>
      </c>
      <c r="R27" s="137">
        <v>98230</v>
      </c>
      <c r="S27" s="134" t="s">
        <v>296</v>
      </c>
      <c r="T27" s="134" t="s">
        <v>296</v>
      </c>
      <c r="U27" s="133">
        <v>2</v>
      </c>
      <c r="V27" s="133">
        <v>2</v>
      </c>
      <c r="W27" s="141" t="s">
        <v>510</v>
      </c>
      <c r="X27" s="132" t="s">
        <v>302</v>
      </c>
      <c r="Y27" s="134" t="s">
        <v>507</v>
      </c>
      <c r="Z27" s="136">
        <v>1</v>
      </c>
      <c r="AA27" s="132" t="s">
        <v>303</v>
      </c>
      <c r="AB27" s="132">
        <v>49037.25</v>
      </c>
      <c r="AC27" s="135" t="s">
        <v>299</v>
      </c>
      <c r="AD27" s="137">
        <v>57863.95</v>
      </c>
      <c r="AE27" s="201">
        <v>0</v>
      </c>
      <c r="AF27" s="132" t="s">
        <v>306</v>
      </c>
      <c r="AG27" s="200" t="s">
        <v>506</v>
      </c>
      <c r="AH27" s="132" t="s">
        <v>308</v>
      </c>
      <c r="AI27" s="132" t="s">
        <v>308</v>
      </c>
      <c r="AJ27" s="132" t="s">
        <v>304</v>
      </c>
      <c r="AK27" s="132" t="s">
        <v>304</v>
      </c>
      <c r="AL27" s="132" t="s">
        <v>304</v>
      </c>
      <c r="AM27" s="132" t="s">
        <v>305</v>
      </c>
      <c r="AN27" s="132" t="s">
        <v>292</v>
      </c>
      <c r="AO27" s="132"/>
    </row>
    <row r="28" spans="1:41" s="130" customFormat="1" ht="60" x14ac:dyDescent="0.25">
      <c r="A28" s="144">
        <v>3</v>
      </c>
      <c r="B28" s="141" t="s">
        <v>289</v>
      </c>
      <c r="C28" s="134" t="s">
        <v>509</v>
      </c>
      <c r="D28" s="133" t="s">
        <v>504</v>
      </c>
      <c r="E28" s="133">
        <v>0</v>
      </c>
      <c r="F28" s="133">
        <v>0</v>
      </c>
      <c r="G28" s="133">
        <v>0</v>
      </c>
      <c r="H28" s="133">
        <v>0</v>
      </c>
      <c r="I28" s="133">
        <v>0</v>
      </c>
      <c r="J28" s="133">
        <v>0</v>
      </c>
      <c r="K28" s="133">
        <v>0</v>
      </c>
      <c r="L28" s="195">
        <v>0.54149999999999998</v>
      </c>
      <c r="M28" s="134" t="s">
        <v>505</v>
      </c>
      <c r="N28" s="141" t="s">
        <v>309</v>
      </c>
      <c r="O28" s="141" t="s">
        <v>295</v>
      </c>
      <c r="P28" s="199">
        <v>1000</v>
      </c>
      <c r="Q28" s="144" t="s">
        <v>291</v>
      </c>
      <c r="R28" s="199">
        <v>1000</v>
      </c>
      <c r="S28" s="141" t="s">
        <v>296</v>
      </c>
      <c r="T28" s="141" t="s">
        <v>296</v>
      </c>
      <c r="U28" s="142">
        <v>2</v>
      </c>
      <c r="V28" s="142">
        <v>2</v>
      </c>
      <c r="W28" s="141" t="s">
        <v>510</v>
      </c>
      <c r="X28" s="144" t="s">
        <v>310</v>
      </c>
      <c r="Y28" s="141" t="s">
        <v>507</v>
      </c>
      <c r="Z28" s="144">
        <v>0</v>
      </c>
      <c r="AA28" s="144">
        <v>0</v>
      </c>
      <c r="AB28" s="144">
        <v>966.17</v>
      </c>
      <c r="AC28" s="143" t="s">
        <v>299</v>
      </c>
      <c r="AD28" s="199">
        <v>1140.08</v>
      </c>
      <c r="AE28" s="201">
        <v>57.001849999999799</v>
      </c>
      <c r="AF28" s="144" t="s">
        <v>311</v>
      </c>
      <c r="AG28" s="200" t="s">
        <v>506</v>
      </c>
      <c r="AH28" s="144" t="s">
        <v>312</v>
      </c>
      <c r="AI28" s="144" t="s">
        <v>314</v>
      </c>
      <c r="AJ28" s="144" t="s">
        <v>313</v>
      </c>
      <c r="AK28" s="144" t="s">
        <v>313</v>
      </c>
      <c r="AL28" s="144" t="s">
        <v>313</v>
      </c>
      <c r="AM28" s="144" t="s">
        <v>315</v>
      </c>
      <c r="AN28" s="144" t="s">
        <v>292</v>
      </c>
      <c r="AO28" s="144"/>
    </row>
    <row r="29" spans="1:41" s="138" customFormat="1" ht="60" x14ac:dyDescent="0.25">
      <c r="A29" s="132">
        <v>4</v>
      </c>
      <c r="B29" s="141" t="s">
        <v>289</v>
      </c>
      <c r="C29" s="134" t="s">
        <v>509</v>
      </c>
      <c r="D29" s="133" t="s">
        <v>504</v>
      </c>
      <c r="E29" s="133">
        <v>0</v>
      </c>
      <c r="F29" s="133">
        <v>0</v>
      </c>
      <c r="G29" s="133">
        <v>0</v>
      </c>
      <c r="H29" s="133">
        <v>0</v>
      </c>
      <c r="I29" s="133">
        <v>0</v>
      </c>
      <c r="J29" s="133">
        <v>0</v>
      </c>
      <c r="K29" s="133">
        <v>0</v>
      </c>
      <c r="L29" s="195">
        <v>0.54149999999999998</v>
      </c>
      <c r="M29" s="134" t="s">
        <v>505</v>
      </c>
      <c r="N29" s="132" t="s">
        <v>484</v>
      </c>
      <c r="O29" s="141" t="s">
        <v>295</v>
      </c>
      <c r="P29" s="298" t="s">
        <v>489</v>
      </c>
      <c r="Q29" s="299"/>
      <c r="R29" s="299"/>
      <c r="S29" s="299"/>
      <c r="T29" s="299"/>
      <c r="U29" s="299"/>
      <c r="V29" s="299"/>
      <c r="W29" s="299"/>
      <c r="X29" s="299"/>
      <c r="Y29" s="299"/>
      <c r="Z29" s="299"/>
      <c r="AA29" s="299"/>
      <c r="AB29" s="300"/>
      <c r="AC29" s="132" t="s">
        <v>485</v>
      </c>
      <c r="AD29" s="137">
        <v>2.1240000000000001</v>
      </c>
      <c r="AE29" s="201">
        <v>0</v>
      </c>
      <c r="AF29" s="132" t="s">
        <v>326</v>
      </c>
      <c r="AG29" s="132" t="s">
        <v>326</v>
      </c>
      <c r="AH29" s="132" t="s">
        <v>326</v>
      </c>
      <c r="AI29" s="132" t="s">
        <v>326</v>
      </c>
      <c r="AJ29" s="132" t="s">
        <v>487</v>
      </c>
      <c r="AK29" s="132" t="s">
        <v>326</v>
      </c>
      <c r="AL29" s="132" t="s">
        <v>326</v>
      </c>
      <c r="AM29" s="132" t="s">
        <v>326</v>
      </c>
      <c r="AN29" s="144" t="s">
        <v>292</v>
      </c>
      <c r="AO29" s="132"/>
    </row>
    <row r="30" spans="1:41" s="140" customFormat="1" ht="60" x14ac:dyDescent="0.25">
      <c r="A30" s="144">
        <v>5</v>
      </c>
      <c r="B30" s="141" t="s">
        <v>289</v>
      </c>
      <c r="C30" s="134" t="s">
        <v>509</v>
      </c>
      <c r="D30" s="133" t="s">
        <v>504</v>
      </c>
      <c r="E30" s="133">
        <v>0</v>
      </c>
      <c r="F30" s="133">
        <v>0</v>
      </c>
      <c r="G30" s="133">
        <v>0</v>
      </c>
      <c r="H30" s="133">
        <v>0</v>
      </c>
      <c r="I30" s="133">
        <v>0</v>
      </c>
      <c r="J30" s="133">
        <v>0</v>
      </c>
      <c r="K30" s="133">
        <v>0</v>
      </c>
      <c r="L30" s="195">
        <v>0.54149999999999998</v>
      </c>
      <c r="M30" s="134" t="s">
        <v>505</v>
      </c>
      <c r="N30" s="144" t="s">
        <v>484</v>
      </c>
      <c r="O30" s="141" t="s">
        <v>295</v>
      </c>
      <c r="P30" s="301" t="s">
        <v>489</v>
      </c>
      <c r="Q30" s="302"/>
      <c r="R30" s="302"/>
      <c r="S30" s="302"/>
      <c r="T30" s="302"/>
      <c r="U30" s="302"/>
      <c r="V30" s="302"/>
      <c r="W30" s="302"/>
      <c r="X30" s="302"/>
      <c r="Y30" s="302"/>
      <c r="Z30" s="302"/>
      <c r="AA30" s="302"/>
      <c r="AB30" s="303"/>
      <c r="AC30" s="144" t="s">
        <v>486</v>
      </c>
      <c r="AD30" s="199">
        <v>10</v>
      </c>
      <c r="AE30" s="201">
        <v>0</v>
      </c>
      <c r="AF30" s="144" t="s">
        <v>326</v>
      </c>
      <c r="AG30" s="144" t="s">
        <v>326</v>
      </c>
      <c r="AH30" s="144" t="s">
        <v>326</v>
      </c>
      <c r="AI30" s="144" t="s">
        <v>326</v>
      </c>
      <c r="AJ30" s="144" t="s">
        <v>488</v>
      </c>
      <c r="AK30" s="144" t="s">
        <v>326</v>
      </c>
      <c r="AL30" s="144" t="s">
        <v>326</v>
      </c>
      <c r="AM30" s="144" t="s">
        <v>326</v>
      </c>
      <c r="AN30" s="144" t="s">
        <v>292</v>
      </c>
      <c r="AO30" s="144"/>
    </row>
    <row r="31" spans="1:41" s="145" customFormat="1" ht="78" customHeight="1" x14ac:dyDescent="0.25">
      <c r="A31" s="144">
        <v>6</v>
      </c>
      <c r="B31" s="141" t="s">
        <v>289</v>
      </c>
      <c r="C31" s="134" t="s">
        <v>509</v>
      </c>
      <c r="D31" s="133" t="s">
        <v>504</v>
      </c>
      <c r="E31" s="133">
        <v>0</v>
      </c>
      <c r="F31" s="133">
        <v>0</v>
      </c>
      <c r="G31" s="133">
        <v>0</v>
      </c>
      <c r="H31" s="133">
        <v>0</v>
      </c>
      <c r="I31" s="133">
        <v>0</v>
      </c>
      <c r="J31" s="133">
        <v>0</v>
      </c>
      <c r="K31" s="133">
        <v>0</v>
      </c>
      <c r="L31" s="196">
        <v>0.54149999999999998</v>
      </c>
      <c r="M31" s="134" t="s">
        <v>505</v>
      </c>
      <c r="N31" s="141" t="s">
        <v>309</v>
      </c>
      <c r="O31" s="141" t="s">
        <v>295</v>
      </c>
      <c r="P31" s="146">
        <v>250000</v>
      </c>
      <c r="Q31" s="132" t="s">
        <v>508</v>
      </c>
      <c r="R31" s="146">
        <v>250000</v>
      </c>
      <c r="S31" s="141" t="s">
        <v>296</v>
      </c>
      <c r="T31" s="141" t="s">
        <v>296</v>
      </c>
      <c r="U31" s="142">
        <v>2</v>
      </c>
      <c r="V31" s="142">
        <v>2</v>
      </c>
      <c r="W31" s="132" t="s">
        <v>511</v>
      </c>
      <c r="X31" s="137" t="s">
        <v>490</v>
      </c>
      <c r="Y31" s="132" t="s">
        <v>491</v>
      </c>
      <c r="Z31" s="145">
        <v>1</v>
      </c>
      <c r="AA31" s="137" t="s">
        <v>490</v>
      </c>
      <c r="AB31" s="137">
        <v>249957.65</v>
      </c>
      <c r="AC31" s="132" t="s">
        <v>492</v>
      </c>
      <c r="AD31" s="146">
        <v>294950.02600000001</v>
      </c>
      <c r="AE31" s="201">
        <v>100347.83586000001</v>
      </c>
      <c r="AF31" s="145" t="s">
        <v>493</v>
      </c>
      <c r="AG31" s="200" t="s">
        <v>506</v>
      </c>
      <c r="AH31" s="147">
        <v>42961</v>
      </c>
      <c r="AI31" s="147">
        <v>42968</v>
      </c>
      <c r="AJ31" s="147">
        <v>42968</v>
      </c>
      <c r="AK31" s="132" t="s">
        <v>326</v>
      </c>
      <c r="AL31" s="132" t="s">
        <v>326</v>
      </c>
      <c r="AM31" s="132" t="s">
        <v>326</v>
      </c>
      <c r="AN31" s="144" t="s">
        <v>292</v>
      </c>
    </row>
  </sheetData>
  <mergeCells count="62">
    <mergeCell ref="A5:AO5"/>
    <mergeCell ref="A16:AO16"/>
    <mergeCell ref="A12:AO12"/>
    <mergeCell ref="A13:AO13"/>
    <mergeCell ref="A14:AO14"/>
    <mergeCell ref="A15:AO15"/>
    <mergeCell ref="A7:AO7"/>
    <mergeCell ref="A8:AO8"/>
    <mergeCell ref="A9:AO9"/>
    <mergeCell ref="A10:AO10"/>
    <mergeCell ref="A20:AO20"/>
    <mergeCell ref="A17:AO17"/>
    <mergeCell ref="A18:AO18"/>
    <mergeCell ref="A19:AO19"/>
    <mergeCell ref="A11:AO11"/>
    <mergeCell ref="A21:AO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N22:N24"/>
    <mergeCell ref="M22:M24"/>
    <mergeCell ref="AM22:AM24"/>
    <mergeCell ref="AN22:AN24"/>
    <mergeCell ref="AO22:AO24"/>
    <mergeCell ref="E23:E24"/>
    <mergeCell ref="L23:L24"/>
    <mergeCell ref="S23:S24"/>
    <mergeCell ref="AI23:AI24"/>
    <mergeCell ref="AB22:AB24"/>
    <mergeCell ref="AC22:AC24"/>
    <mergeCell ref="O22:O24"/>
    <mergeCell ref="P22:P24"/>
    <mergeCell ref="Q22:Q24"/>
    <mergeCell ref="T23:T24"/>
    <mergeCell ref="AI22:AJ22"/>
    <mergeCell ref="Y22:Y24"/>
    <mergeCell ref="Z22:Z24"/>
    <mergeCell ref="AA22:AA24"/>
    <mergeCell ref="AL22:AL24"/>
    <mergeCell ref="AK22:AK24"/>
    <mergeCell ref="AF23:AG23"/>
    <mergeCell ref="AJ23:AJ24"/>
    <mergeCell ref="AF22:AH22"/>
    <mergeCell ref="AH23:AH24"/>
    <mergeCell ref="F23:F24"/>
    <mergeCell ref="G23:G24"/>
    <mergeCell ref="H23:H24"/>
    <mergeCell ref="K23:K24"/>
    <mergeCell ref="I23:I24"/>
    <mergeCell ref="J23:J24"/>
    <mergeCell ref="P29:AB29"/>
    <mergeCell ref="P30:AB30"/>
    <mergeCell ref="AD22:AD24"/>
    <mergeCell ref="AE22:AE24"/>
    <mergeCell ref="W22:W24"/>
    <mergeCell ref="X22:X24"/>
  </mergeCells>
  <phoneticPr fontId="48" type="noConversion"/>
  <hyperlinks>
    <hyperlink ref="AG26:AG28" r:id="rId1" display="www.b2b-mrsk.ru"/>
    <hyperlink ref="AG31" r:id="rId2"/>
  </hyperlinks>
  <printOptions horizontalCentered="1"/>
  <pageMargins left="0.59055118110236227" right="0.59055118110236227" top="0.59055118110236227" bottom="0.59055118110236227" header="0" footer="0"/>
  <pageSetup paperSize="8" scale="39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4"/>
  <sheetViews>
    <sheetView view="pageBreakPreview" topLeftCell="A5" zoomScale="80" zoomScaleNormal="90" zoomScaleSheetLayoutView="80" workbookViewId="0">
      <selection activeCell="H23" sqref="H23"/>
    </sheetView>
  </sheetViews>
  <sheetFormatPr defaultRowHeight="15.75" x14ac:dyDescent="0.25"/>
  <cols>
    <col min="1" max="1" width="72.28515625" style="23" customWidth="1"/>
    <col min="2" max="2" width="56.28515625" style="23" customWidth="1"/>
    <col min="3" max="3" width="39.85546875" style="24" customWidth="1"/>
    <col min="4" max="8" width="9.140625" style="24"/>
    <col min="9" max="9" width="52.5703125" style="24" customWidth="1"/>
    <col min="10" max="216" width="9.140625" style="24"/>
    <col min="217" max="218" width="66.140625" style="24" customWidth="1"/>
    <col min="219" max="16384" width="9.140625" style="24"/>
  </cols>
  <sheetData>
    <row r="1" spans="1:2" ht="18.75" x14ac:dyDescent="0.25">
      <c r="B1" s="34" t="s">
        <v>58</v>
      </c>
    </row>
    <row r="2" spans="1:2" ht="18.75" x14ac:dyDescent="0.3">
      <c r="B2" s="35" t="s">
        <v>7</v>
      </c>
    </row>
    <row r="3" spans="1:2" ht="18.75" x14ac:dyDescent="0.3">
      <c r="B3" s="35" t="s">
        <v>170</v>
      </c>
    </row>
    <row r="4" spans="1:2" x14ac:dyDescent="0.25">
      <c r="B4" s="6"/>
    </row>
    <row r="5" spans="1:2" x14ac:dyDescent="0.25">
      <c r="A5" s="326" t="str">
        <f>'1. паспорт местоположение'!$A$5</f>
        <v>Год раскрытия информации: 2019 год</v>
      </c>
      <c r="B5" s="326"/>
    </row>
    <row r="6" spans="1:2" ht="18.75" x14ac:dyDescent="0.3">
      <c r="A6" s="27"/>
      <c r="B6" s="27"/>
    </row>
    <row r="7" spans="1:2" x14ac:dyDescent="0.25">
      <c r="A7" s="327" t="s">
        <v>6</v>
      </c>
      <c r="B7" s="327"/>
    </row>
    <row r="8" spans="1:2" ht="18.75" x14ac:dyDescent="0.25">
      <c r="A8" s="70"/>
      <c r="B8" s="70"/>
    </row>
    <row r="9" spans="1:2" x14ac:dyDescent="0.25">
      <c r="A9" s="256" t="s">
        <v>289</v>
      </c>
      <c r="B9" s="256"/>
    </row>
    <row r="10" spans="1:2" x14ac:dyDescent="0.25">
      <c r="A10" s="230" t="s">
        <v>5</v>
      </c>
      <c r="B10" s="230"/>
    </row>
    <row r="11" spans="1:2" ht="18.75" x14ac:dyDescent="0.25">
      <c r="A11" s="70"/>
      <c r="B11" s="70"/>
    </row>
    <row r="12" spans="1:2" ht="30.75" customHeight="1" x14ac:dyDescent="0.25">
      <c r="A12" s="256" t="str">
        <f>'6.2. Паспорт фин осв ввод'!A11:K11</f>
        <v>F_prj_109108_5385</v>
      </c>
      <c r="B12" s="256"/>
    </row>
    <row r="13" spans="1:2" x14ac:dyDescent="0.25">
      <c r="A13" s="230" t="s">
        <v>4</v>
      </c>
      <c r="B13" s="230"/>
    </row>
    <row r="14" spans="1:2" ht="18.75" x14ac:dyDescent="0.25">
      <c r="A14" s="1"/>
      <c r="B14" s="1"/>
    </row>
    <row r="15" spans="1:2" ht="57.75" customHeight="1" x14ac:dyDescent="0.25">
      <c r="A15" s="279" t="str">
        <f>'6.2. Паспорт фин осв ввод'!A14:K14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5" s="279"/>
    </row>
    <row r="16" spans="1:2" x14ac:dyDescent="0.25">
      <c r="A16" s="230" t="s">
        <v>3</v>
      </c>
      <c r="B16" s="230"/>
    </row>
    <row r="17" spans="1:9" x14ac:dyDescent="0.25">
      <c r="B17" s="98"/>
    </row>
    <row r="18" spans="1:9" ht="20.25" customHeight="1" x14ac:dyDescent="0.25">
      <c r="A18" s="328" t="s">
        <v>280</v>
      </c>
      <c r="B18" s="326"/>
    </row>
    <row r="19" spans="1:9" ht="10.5" customHeight="1" x14ac:dyDescent="0.25">
      <c r="B19" s="6"/>
    </row>
    <row r="20" spans="1:9" ht="10.5" customHeight="1" thickBot="1" x14ac:dyDescent="0.3">
      <c r="B20" s="99"/>
    </row>
    <row r="21" spans="1:9" ht="90.75" thickBot="1" x14ac:dyDescent="0.3">
      <c r="A21" s="100" t="s">
        <v>174</v>
      </c>
      <c r="B21" s="101" t="str">
        <f>'1. паспорт местоположение'!A15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</row>
    <row r="22" spans="1:9" ht="16.5" thickBot="1" x14ac:dyDescent="0.3">
      <c r="A22" s="100" t="s">
        <v>175</v>
      </c>
      <c r="B22" s="101" t="str">
        <f>'1. паспорт местоположение'!C27</f>
        <v>г. Грозный</v>
      </c>
    </row>
    <row r="23" spans="1:9" ht="16.5" thickBot="1" x14ac:dyDescent="0.3">
      <c r="A23" s="100" t="s">
        <v>171</v>
      </c>
      <c r="B23" s="101" t="str">
        <f>'1. паспорт местоположение'!C22</f>
        <v>Прочие инвестиционные проекты</v>
      </c>
    </row>
    <row r="24" spans="1:9" ht="16.5" thickBot="1" x14ac:dyDescent="0.3">
      <c r="A24" s="100" t="s">
        <v>176</v>
      </c>
      <c r="B24" s="102">
        <v>0</v>
      </c>
    </row>
    <row r="25" spans="1:9" ht="16.5" thickBot="1" x14ac:dyDescent="0.3">
      <c r="A25" s="103" t="s">
        <v>177</v>
      </c>
      <c r="B25" s="101" t="str">
        <f>VLOOKUP($A$12,'[1]6.2. отчет'!$D:$OM,400,0)</f>
        <v>нд</v>
      </c>
    </row>
    <row r="26" spans="1:9" ht="16.5" thickBot="1" x14ac:dyDescent="0.3">
      <c r="A26" s="104" t="s">
        <v>178</v>
      </c>
      <c r="B26" s="102" t="str">
        <f>'3.3 паспорт описание'!C30</f>
        <v>с</v>
      </c>
      <c r="I26" s="105"/>
    </row>
    <row r="27" spans="1:9" ht="27.75" customHeight="1" thickBot="1" x14ac:dyDescent="0.3">
      <c r="A27" s="77" t="s">
        <v>501</v>
      </c>
      <c r="B27" s="102">
        <f>VLOOKUP($A$12,'[1]6.2. отчет'!$D:$OT,407,0)</f>
        <v>349.81581535600003</v>
      </c>
      <c r="C27" s="202"/>
    </row>
    <row r="28" spans="1:9" ht="16.5" thickBot="1" x14ac:dyDescent="0.3">
      <c r="A28" s="106" t="s">
        <v>179</v>
      </c>
      <c r="B28" s="106" t="s">
        <v>291</v>
      </c>
    </row>
    <row r="29" spans="1:9" ht="16.5" thickBot="1" x14ac:dyDescent="0.3">
      <c r="A29" s="107" t="s">
        <v>180</v>
      </c>
      <c r="B29" s="108">
        <f>B34+B39+B44+B60+B65+B49</f>
        <v>472.53808000000004</v>
      </c>
    </row>
    <row r="30" spans="1:9" ht="29.25" thickBot="1" x14ac:dyDescent="0.3">
      <c r="A30" s="107" t="s">
        <v>181</v>
      </c>
      <c r="B30" s="108">
        <f>B29</f>
        <v>472.53808000000004</v>
      </c>
    </row>
    <row r="31" spans="1:9" ht="16.5" thickBot="1" x14ac:dyDescent="0.3">
      <c r="A31" s="106" t="s">
        <v>182</v>
      </c>
      <c r="B31" s="106"/>
    </row>
    <row r="32" spans="1:9" ht="29.25" thickBot="1" x14ac:dyDescent="0.3">
      <c r="A32" s="107" t="s">
        <v>183</v>
      </c>
      <c r="B32" s="109">
        <f>B34+B39+B44+B49</f>
        <v>472.524156</v>
      </c>
    </row>
    <row r="33" spans="1:2" ht="16.5" thickBot="1" x14ac:dyDescent="0.3">
      <c r="A33" s="107"/>
      <c r="B33" s="107" t="s">
        <v>476</v>
      </c>
    </row>
    <row r="34" spans="1:2" ht="18.75" customHeight="1" thickBot="1" x14ac:dyDescent="0.3">
      <c r="A34" s="106" t="s">
        <v>473</v>
      </c>
      <c r="B34" s="109">
        <v>118.5701</v>
      </c>
    </row>
    <row r="35" spans="1:2" ht="23.25" customHeight="1" thickBot="1" x14ac:dyDescent="0.3">
      <c r="A35" s="106" t="s">
        <v>185</v>
      </c>
      <c r="B35" s="198">
        <f>B37/B27</f>
        <v>0.33890409694413082</v>
      </c>
    </row>
    <row r="36" spans="1:2" ht="16.5" thickBot="1" x14ac:dyDescent="0.3">
      <c r="A36" s="106" t="s">
        <v>186</v>
      </c>
      <c r="B36" s="109">
        <v>118.554013</v>
      </c>
    </row>
    <row r="37" spans="1:2" ht="16.5" thickBot="1" x14ac:dyDescent="0.3">
      <c r="A37" s="106" t="s">
        <v>187</v>
      </c>
      <c r="B37" s="109">
        <v>118.554013</v>
      </c>
    </row>
    <row r="38" spans="1:2" ht="16.5" thickBot="1" x14ac:dyDescent="0.3">
      <c r="A38" s="106"/>
      <c r="B38" s="107" t="s">
        <v>477</v>
      </c>
    </row>
    <row r="39" spans="1:2" ht="16.5" thickBot="1" x14ac:dyDescent="0.3">
      <c r="A39" s="106" t="s">
        <v>474</v>
      </c>
      <c r="B39" s="109">
        <v>57.863950000000003</v>
      </c>
    </row>
    <row r="40" spans="1:2" ht="16.5" thickBot="1" x14ac:dyDescent="0.3">
      <c r="A40" s="106" t="s">
        <v>185</v>
      </c>
      <c r="B40" s="203">
        <f>B42/B27</f>
        <v>0.16492342960905657</v>
      </c>
    </row>
    <row r="41" spans="1:2" ht="16.5" thickBot="1" x14ac:dyDescent="0.3">
      <c r="A41" s="106" t="s">
        <v>186</v>
      </c>
      <c r="B41" s="109">
        <v>57.692824000000002</v>
      </c>
    </row>
    <row r="42" spans="1:2" ht="16.5" thickBot="1" x14ac:dyDescent="0.3">
      <c r="A42" s="106" t="s">
        <v>187</v>
      </c>
      <c r="B42" s="109">
        <v>57.692824000000002</v>
      </c>
    </row>
    <row r="43" spans="1:2" ht="16.5" thickBot="1" x14ac:dyDescent="0.3">
      <c r="A43" s="106"/>
      <c r="B43" s="107" t="s">
        <v>478</v>
      </c>
    </row>
    <row r="44" spans="1:2" ht="16.5" thickBot="1" x14ac:dyDescent="0.3">
      <c r="A44" s="106" t="s">
        <v>475</v>
      </c>
      <c r="B44" s="109">
        <v>1.14008</v>
      </c>
    </row>
    <row r="45" spans="1:2" ht="16.5" thickBot="1" x14ac:dyDescent="0.3">
      <c r="A45" s="106" t="s">
        <v>185</v>
      </c>
      <c r="B45" s="204">
        <f>B47/B27</f>
        <v>3.2589635744164651E-3</v>
      </c>
    </row>
    <row r="46" spans="1:2" ht="16.5" thickBot="1" x14ac:dyDescent="0.3">
      <c r="A46" s="106" t="s">
        <v>186</v>
      </c>
      <c r="B46" s="109">
        <v>1.083035</v>
      </c>
    </row>
    <row r="47" spans="1:2" ht="16.5" thickBot="1" x14ac:dyDescent="0.3">
      <c r="A47" s="106" t="s">
        <v>187</v>
      </c>
      <c r="B47" s="109">
        <v>1.140037</v>
      </c>
    </row>
    <row r="48" spans="1:2" ht="16.5" thickBot="1" x14ac:dyDescent="0.3">
      <c r="A48" s="106"/>
      <c r="B48" s="110" t="s">
        <v>494</v>
      </c>
    </row>
    <row r="49" spans="1:2" ht="16.5" thickBot="1" x14ac:dyDescent="0.3">
      <c r="A49" s="106" t="s">
        <v>475</v>
      </c>
      <c r="B49" s="109">
        <v>294.95002599999998</v>
      </c>
    </row>
    <row r="50" spans="1:2" ht="16.5" thickBot="1" x14ac:dyDescent="0.3">
      <c r="A50" s="106" t="s">
        <v>185</v>
      </c>
      <c r="B50" s="203">
        <f>B52/B27</f>
        <v>0.28685905723810162</v>
      </c>
    </row>
    <row r="51" spans="1:2" ht="16.5" thickBot="1" x14ac:dyDescent="0.3">
      <c r="A51" s="106" t="s">
        <v>186</v>
      </c>
      <c r="B51" s="109">
        <v>0</v>
      </c>
    </row>
    <row r="52" spans="1:2" ht="16.5" thickBot="1" x14ac:dyDescent="0.3">
      <c r="A52" s="106" t="s">
        <v>187</v>
      </c>
      <c r="B52" s="109">
        <v>100.347835</v>
      </c>
    </row>
    <row r="53" spans="1:2" ht="29.25" thickBot="1" x14ac:dyDescent="0.3">
      <c r="A53" s="107" t="s">
        <v>188</v>
      </c>
      <c r="B53" s="106"/>
    </row>
    <row r="54" spans="1:2" ht="16.5" thickBot="1" x14ac:dyDescent="0.3">
      <c r="A54" s="106" t="s">
        <v>184</v>
      </c>
      <c r="B54" s="111" t="s">
        <v>326</v>
      </c>
    </row>
    <row r="55" spans="1:2" ht="16.5" thickBot="1" x14ac:dyDescent="0.3">
      <c r="A55" s="106" t="s">
        <v>185</v>
      </c>
      <c r="B55" s="111" t="s">
        <v>326</v>
      </c>
    </row>
    <row r="56" spans="1:2" ht="16.5" thickBot="1" x14ac:dyDescent="0.3">
      <c r="A56" s="106" t="s">
        <v>186</v>
      </c>
      <c r="B56" s="111" t="s">
        <v>326</v>
      </c>
    </row>
    <row r="57" spans="1:2" ht="16.5" thickBot="1" x14ac:dyDescent="0.3">
      <c r="A57" s="106" t="s">
        <v>187</v>
      </c>
      <c r="B57" s="111" t="s">
        <v>326</v>
      </c>
    </row>
    <row r="58" spans="1:2" ht="29.25" thickBot="1" x14ac:dyDescent="0.3">
      <c r="A58" s="107" t="s">
        <v>189</v>
      </c>
      <c r="B58" s="106"/>
    </row>
    <row r="59" spans="1:2" ht="16.5" thickBot="1" x14ac:dyDescent="0.3">
      <c r="A59" s="107"/>
      <c r="B59" s="112" t="s">
        <v>480</v>
      </c>
    </row>
    <row r="60" spans="1:2" ht="16.5" thickBot="1" x14ac:dyDescent="0.3">
      <c r="A60" s="106" t="s">
        <v>479</v>
      </c>
      <c r="B60" s="205">
        <v>2.124E-3</v>
      </c>
    </row>
    <row r="61" spans="1:2" ht="16.5" thickBot="1" x14ac:dyDescent="0.3">
      <c r="A61" s="106" t="s">
        <v>185</v>
      </c>
      <c r="B61" s="206">
        <f>B63/B27</f>
        <v>6.0717666462233875E-6</v>
      </c>
    </row>
    <row r="62" spans="1:2" ht="16.5" thickBot="1" x14ac:dyDescent="0.3">
      <c r="A62" s="106" t="s">
        <v>186</v>
      </c>
      <c r="B62" s="205">
        <v>2.124E-3</v>
      </c>
    </row>
    <row r="63" spans="1:2" ht="16.5" thickBot="1" x14ac:dyDescent="0.3">
      <c r="A63" s="106" t="s">
        <v>187</v>
      </c>
      <c r="B63" s="205">
        <v>2.124E-3</v>
      </c>
    </row>
    <row r="64" spans="1:2" ht="16.5" thickBot="1" x14ac:dyDescent="0.3">
      <c r="A64" s="113"/>
      <c r="B64" s="114" t="s">
        <v>482</v>
      </c>
    </row>
    <row r="65" spans="1:3" ht="16.5" thickBot="1" x14ac:dyDescent="0.3">
      <c r="A65" s="106" t="s">
        <v>481</v>
      </c>
      <c r="B65" s="207">
        <v>1.18E-2</v>
      </c>
    </row>
    <row r="66" spans="1:3" ht="16.5" thickBot="1" x14ac:dyDescent="0.3">
      <c r="A66" s="106" t="s">
        <v>185</v>
      </c>
      <c r="B66" s="208">
        <f>B68/B27</f>
        <v>3.3732036923463264E-5</v>
      </c>
    </row>
    <row r="67" spans="1:3" ht="16.5" thickBot="1" x14ac:dyDescent="0.3">
      <c r="A67" s="106" t="s">
        <v>186</v>
      </c>
      <c r="B67" s="207">
        <v>1.18E-2</v>
      </c>
    </row>
    <row r="68" spans="1:3" ht="16.5" thickBot="1" x14ac:dyDescent="0.3">
      <c r="A68" s="106" t="s">
        <v>187</v>
      </c>
      <c r="B68" s="207">
        <v>1.18E-2</v>
      </c>
    </row>
    <row r="69" spans="1:3" ht="29.25" thickBot="1" x14ac:dyDescent="0.3">
      <c r="A69" s="115" t="s">
        <v>190</v>
      </c>
      <c r="B69" s="197">
        <f>B71+B72+B73</f>
        <v>1.0010277703045571</v>
      </c>
    </row>
    <row r="70" spans="1:3" ht="16.5" thickBot="1" x14ac:dyDescent="0.3">
      <c r="A70" s="117" t="s">
        <v>182</v>
      </c>
      <c r="B70" s="116"/>
    </row>
    <row r="71" spans="1:3" ht="16.5" thickBot="1" x14ac:dyDescent="0.3">
      <c r="A71" s="117" t="s">
        <v>191</v>
      </c>
      <c r="B71" s="198">
        <f>(B68+B63+B52+B47+B42+B37)/(B27-B74)</f>
        <v>1.0009879665009875</v>
      </c>
    </row>
    <row r="72" spans="1:3" ht="16.5" thickBot="1" x14ac:dyDescent="0.3">
      <c r="A72" s="117" t="s">
        <v>192</v>
      </c>
      <c r="B72" s="198">
        <v>0</v>
      </c>
    </row>
    <row r="73" spans="1:3" ht="16.5" thickBot="1" x14ac:dyDescent="0.3">
      <c r="A73" s="216" t="s">
        <v>193</v>
      </c>
      <c r="B73" s="209">
        <f>B66+B61</f>
        <v>3.9803803569686654E-5</v>
      </c>
    </row>
    <row r="74" spans="1:3" ht="16.5" thickBot="1" x14ac:dyDescent="0.3">
      <c r="A74" s="217" t="s">
        <v>514</v>
      </c>
      <c r="B74" s="210">
        <f>B75+B76+B77</f>
        <v>72.341317864399997</v>
      </c>
    </row>
    <row r="75" spans="1:3" ht="16.5" thickBot="1" x14ac:dyDescent="0.3">
      <c r="A75" s="217" t="s">
        <v>515</v>
      </c>
      <c r="B75" s="210">
        <f>1.3494994952+0.4622578492</f>
        <v>1.8117573443999999</v>
      </c>
    </row>
    <row r="76" spans="1:3" ht="16.5" thickBot="1" x14ac:dyDescent="0.3">
      <c r="A76" s="217" t="s">
        <v>516</v>
      </c>
      <c r="B76" s="211">
        <v>0</v>
      </c>
    </row>
    <row r="77" spans="1:3" ht="63.75" thickBot="1" x14ac:dyDescent="0.3">
      <c r="A77" s="217" t="s">
        <v>103</v>
      </c>
      <c r="B77" s="210">
        <v>70.529560520000004</v>
      </c>
      <c r="C77" s="212" t="s">
        <v>513</v>
      </c>
    </row>
    <row r="78" spans="1:3" ht="48" customHeight="1" thickBot="1" x14ac:dyDescent="0.3">
      <c r="A78" s="218" t="s">
        <v>194</v>
      </c>
      <c r="B78" s="213">
        <f>B79/$B$27</f>
        <v>0.71279255096641592</v>
      </c>
    </row>
    <row r="79" spans="1:3" ht="16.5" thickBot="1" x14ac:dyDescent="0.3">
      <c r="A79" s="218" t="s">
        <v>195</v>
      </c>
      <c r="B79" s="214">
        <f>'6.2. Паспорт фин осв ввод'!$D$24-'6.2. Паспорт фин осв ввод'!$F$24</f>
        <v>249.34610739600001</v>
      </c>
    </row>
    <row r="80" spans="1:3" ht="16.5" thickBot="1" x14ac:dyDescent="0.3">
      <c r="A80" s="218" t="s">
        <v>196</v>
      </c>
      <c r="B80" s="213">
        <f>$B81/'6.2. Паспорт фин осв ввод'!$D$30</f>
        <v>1</v>
      </c>
    </row>
    <row r="81" spans="1:2" ht="16.5" thickBot="1" x14ac:dyDescent="0.3">
      <c r="A81" s="219" t="s">
        <v>197</v>
      </c>
      <c r="B81" s="215">
        <f>'6.2. Паспорт фин осв ввод'!$D$30-'6.2. Паспорт фин осв ввод'!$F$30</f>
        <v>296.68639800000005</v>
      </c>
    </row>
    <row r="82" spans="1:2" ht="45" x14ac:dyDescent="0.25">
      <c r="A82" s="118" t="s">
        <v>198</v>
      </c>
      <c r="B82" s="120" t="s">
        <v>199</v>
      </c>
    </row>
    <row r="83" spans="1:2" x14ac:dyDescent="0.25">
      <c r="A83" s="119" t="s">
        <v>200</v>
      </c>
      <c r="B83" s="120" t="s">
        <v>289</v>
      </c>
    </row>
    <row r="84" spans="1:2" x14ac:dyDescent="0.25">
      <c r="A84" s="119" t="s">
        <v>201</v>
      </c>
      <c r="B84" s="120"/>
    </row>
    <row r="85" spans="1:2" x14ac:dyDescent="0.25">
      <c r="A85" s="119" t="s">
        <v>202</v>
      </c>
      <c r="B85" s="120"/>
    </row>
    <row r="86" spans="1:2" x14ac:dyDescent="0.25">
      <c r="A86" s="119" t="s">
        <v>203</v>
      </c>
      <c r="B86" s="120" t="s">
        <v>483</v>
      </c>
    </row>
    <row r="87" spans="1:2" ht="16.5" thickBot="1" x14ac:dyDescent="0.3">
      <c r="A87" s="121" t="s">
        <v>204</v>
      </c>
      <c r="B87" s="122"/>
    </row>
    <row r="88" spans="1:2" ht="30.75" thickBot="1" x14ac:dyDescent="0.3">
      <c r="A88" s="117" t="s">
        <v>205</v>
      </c>
      <c r="B88" s="111" t="s">
        <v>292</v>
      </c>
    </row>
    <row r="89" spans="1:2" ht="29.25" thickBot="1" x14ac:dyDescent="0.3">
      <c r="A89" s="103" t="s">
        <v>206</v>
      </c>
      <c r="B89" s="123"/>
    </row>
    <row r="90" spans="1:2" ht="16.5" thickBot="1" x14ac:dyDescent="0.3">
      <c r="A90" s="117" t="s">
        <v>182</v>
      </c>
      <c r="B90" s="111"/>
    </row>
    <row r="91" spans="1:2" ht="16.5" thickBot="1" x14ac:dyDescent="0.3">
      <c r="A91" s="117" t="s">
        <v>207</v>
      </c>
      <c r="B91" s="111"/>
    </row>
    <row r="92" spans="1:2" ht="16.5" thickBot="1" x14ac:dyDescent="0.3">
      <c r="A92" s="117" t="s">
        <v>208</v>
      </c>
      <c r="B92" s="111"/>
    </row>
    <row r="93" spans="1:2" ht="16.5" thickBot="1" x14ac:dyDescent="0.3">
      <c r="A93" s="124" t="s">
        <v>209</v>
      </c>
      <c r="B93" s="111"/>
    </row>
    <row r="94" spans="1:2" ht="16.5" thickBot="1" x14ac:dyDescent="0.3">
      <c r="A94" s="103" t="s">
        <v>210</v>
      </c>
      <c r="B94" s="125"/>
    </row>
    <row r="95" spans="1:2" ht="16.5" thickBot="1" x14ac:dyDescent="0.3">
      <c r="A95" s="120" t="s">
        <v>211</v>
      </c>
      <c r="B95" s="111"/>
    </row>
    <row r="96" spans="1:2" ht="16.5" thickBot="1" x14ac:dyDescent="0.3">
      <c r="A96" s="120" t="s">
        <v>212</v>
      </c>
      <c r="B96" s="111"/>
    </row>
    <row r="97" spans="1:2" ht="16.5" thickBot="1" x14ac:dyDescent="0.3">
      <c r="A97" s="120" t="s">
        <v>213</v>
      </c>
      <c r="B97" s="111"/>
    </row>
    <row r="98" spans="1:2" ht="29.25" thickBot="1" x14ac:dyDescent="0.3">
      <c r="A98" s="126" t="s">
        <v>214</v>
      </c>
      <c r="B98" s="127" t="str">
        <f>$B$26</f>
        <v>с</v>
      </c>
    </row>
    <row r="99" spans="1:2" ht="28.5" x14ac:dyDescent="0.25">
      <c r="A99" s="115" t="s">
        <v>215</v>
      </c>
      <c r="B99" s="329"/>
    </row>
    <row r="100" spans="1:2" x14ac:dyDescent="0.25">
      <c r="A100" s="120" t="s">
        <v>216</v>
      </c>
      <c r="B100" s="330"/>
    </row>
    <row r="101" spans="1:2" x14ac:dyDescent="0.25">
      <c r="A101" s="120" t="s">
        <v>217</v>
      </c>
      <c r="B101" s="330"/>
    </row>
    <row r="102" spans="1:2" x14ac:dyDescent="0.25">
      <c r="A102" s="120" t="s">
        <v>218</v>
      </c>
      <c r="B102" s="330"/>
    </row>
    <row r="103" spans="1:2" x14ac:dyDescent="0.25">
      <c r="A103" s="120" t="s">
        <v>219</v>
      </c>
      <c r="B103" s="330"/>
    </row>
    <row r="104" spans="1:2" ht="16.5" thickBot="1" x14ac:dyDescent="0.3">
      <c r="A104" s="128" t="s">
        <v>220</v>
      </c>
      <c r="B104" s="331"/>
    </row>
  </sheetData>
  <mergeCells count="10">
    <mergeCell ref="A13:B13"/>
    <mergeCell ref="A16:B16"/>
    <mergeCell ref="A18:B18"/>
    <mergeCell ref="A15:B15"/>
    <mergeCell ref="B99:B104"/>
    <mergeCell ref="A5:B5"/>
    <mergeCell ref="A7:B7"/>
    <mergeCell ref="A10:B10"/>
    <mergeCell ref="A12:B12"/>
    <mergeCell ref="A9:B9"/>
  </mergeCells>
  <phoneticPr fontId="48" type="noConversion"/>
  <pageMargins left="0.23622047244094491" right="0.15748031496062992" top="0.43307086614173229" bottom="0.31496062992125984" header="0.19685039370078741" footer="0.1574803149606299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H19" sqref="H19:H20"/>
    </sheetView>
  </sheetViews>
  <sheetFormatPr defaultRowHeight="15" x14ac:dyDescent="0.25"/>
  <cols>
    <col min="1" max="1" width="7.42578125" style="66" customWidth="1"/>
    <col min="2" max="2" width="35.85546875" style="66" customWidth="1"/>
    <col min="3" max="3" width="31.140625" style="66" customWidth="1"/>
    <col min="4" max="4" width="25" style="66" customWidth="1"/>
    <col min="5" max="5" width="50" style="66" customWidth="1"/>
    <col min="6" max="6" width="57" style="66" customWidth="1"/>
    <col min="7" max="7" width="57.5703125" style="66" customWidth="1"/>
    <col min="8" max="10" width="20.5703125" style="66" customWidth="1"/>
    <col min="11" max="11" width="16" style="66" customWidth="1"/>
    <col min="12" max="12" width="20.5703125" style="66" customWidth="1"/>
    <col min="13" max="13" width="21.28515625" style="66" customWidth="1"/>
    <col min="14" max="14" width="23.85546875" style="66" customWidth="1"/>
    <col min="15" max="15" width="17.85546875" style="66" customWidth="1"/>
    <col min="16" max="16" width="23.85546875" style="66" customWidth="1"/>
    <col min="17" max="17" width="58" style="66" customWidth="1"/>
    <col min="18" max="18" width="27" style="66" customWidth="1"/>
    <col min="19" max="19" width="43" style="66" customWidth="1"/>
    <col min="20" max="16384" width="9.140625" style="66"/>
  </cols>
  <sheetData>
    <row r="1" spans="1:25" s="2" customFormat="1" ht="18.75" customHeight="1" x14ac:dyDescent="0.2">
      <c r="A1" s="33"/>
      <c r="S1" s="34" t="s">
        <v>58</v>
      </c>
    </row>
    <row r="2" spans="1:25" s="2" customFormat="1" ht="18.75" customHeight="1" x14ac:dyDescent="0.3">
      <c r="A2" s="33"/>
      <c r="S2" s="35" t="s">
        <v>7</v>
      </c>
    </row>
    <row r="3" spans="1:25" s="2" customFormat="1" ht="18.75" x14ac:dyDescent="0.3">
      <c r="S3" s="35" t="s">
        <v>57</v>
      </c>
    </row>
    <row r="4" spans="1:25" s="2" customFormat="1" ht="15.75" x14ac:dyDescent="0.2">
      <c r="A4" s="224" t="str">
        <f>'1. паспорт местоположение'!$A$5</f>
        <v>Год раскрытия информации: 2019 год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</row>
    <row r="5" spans="1:25" s="2" customFormat="1" ht="15.75" x14ac:dyDescent="0.2">
      <c r="A5" s="36"/>
    </row>
    <row r="6" spans="1:25" s="2" customFormat="1" ht="18.75" x14ac:dyDescent="0.2">
      <c r="A6" s="228" t="s">
        <v>6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</row>
    <row r="7" spans="1:25" s="2" customFormat="1" ht="18.75" x14ac:dyDescent="0.2">
      <c r="A7" s="228"/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</row>
    <row r="8" spans="1:25" s="2" customFormat="1" ht="18.75" customHeight="1" x14ac:dyDescent="0.2">
      <c r="A8" s="229" t="s">
        <v>334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</row>
    <row r="9" spans="1:25" s="2" customFormat="1" ht="18.75" customHeight="1" x14ac:dyDescent="0.2">
      <c r="A9" s="230" t="s">
        <v>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5" s="2" customFormat="1" ht="18.75" x14ac:dyDescent="0.2">
      <c r="A10" s="228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</row>
    <row r="11" spans="1:25" s="2" customFormat="1" ht="18.75" customHeight="1" x14ac:dyDescent="0.2">
      <c r="A11" s="229" t="s">
        <v>471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</row>
    <row r="12" spans="1:25" s="2" customFormat="1" ht="18.75" customHeight="1" x14ac:dyDescent="0.2">
      <c r="A12" s="230" t="s">
        <v>4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5" s="50" customFormat="1" ht="15.75" customHeight="1" x14ac:dyDescent="0.2">
      <c r="A13" s="239"/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</row>
    <row r="14" spans="1:25" s="51" customFormat="1" ht="15.75" x14ac:dyDescent="0.2">
      <c r="A14" s="229" t="str">
        <f>'1. паспорт местоположение'!A15:C15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</row>
    <row r="15" spans="1:25" s="51" customFormat="1" ht="15" customHeight="1" x14ac:dyDescent="0.2">
      <c r="A15" s="230" t="s">
        <v>3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5" s="51" customFormat="1" ht="15" customHeight="1" x14ac:dyDescent="0.2">
      <c r="A16" s="232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78"/>
      <c r="U16" s="78"/>
      <c r="V16" s="78"/>
      <c r="W16" s="78"/>
      <c r="X16" s="78"/>
      <c r="Y16" s="78"/>
    </row>
    <row r="17" spans="1:28" s="51" customFormat="1" ht="45.75" customHeight="1" x14ac:dyDescent="0.2">
      <c r="A17" s="238" t="s">
        <v>335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88"/>
      <c r="U17" s="88"/>
      <c r="V17" s="88"/>
      <c r="W17" s="88"/>
      <c r="X17" s="88"/>
      <c r="Y17" s="88"/>
      <c r="Z17" s="88"/>
      <c r="AA17" s="88"/>
      <c r="AB17" s="88"/>
    </row>
    <row r="18" spans="1:28" s="51" customFormat="1" ht="15" customHeight="1" x14ac:dyDescent="0.2">
      <c r="A18" s="234"/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78"/>
      <c r="U18" s="78"/>
      <c r="V18" s="78"/>
      <c r="W18" s="78"/>
      <c r="X18" s="78"/>
      <c r="Y18" s="78"/>
    </row>
    <row r="19" spans="1:28" s="51" customFormat="1" ht="54" customHeight="1" x14ac:dyDescent="0.2">
      <c r="A19" s="233" t="s">
        <v>2</v>
      </c>
      <c r="B19" s="233" t="s">
        <v>336</v>
      </c>
      <c r="C19" s="235" t="s">
        <v>337</v>
      </c>
      <c r="D19" s="233" t="s">
        <v>338</v>
      </c>
      <c r="E19" s="233" t="s">
        <v>339</v>
      </c>
      <c r="F19" s="233" t="s">
        <v>340</v>
      </c>
      <c r="G19" s="233" t="s">
        <v>341</v>
      </c>
      <c r="H19" s="233" t="s">
        <v>342</v>
      </c>
      <c r="I19" s="233" t="s">
        <v>343</v>
      </c>
      <c r="J19" s="233" t="s">
        <v>344</v>
      </c>
      <c r="K19" s="233" t="s">
        <v>345</v>
      </c>
      <c r="L19" s="233" t="s">
        <v>346</v>
      </c>
      <c r="M19" s="233" t="s">
        <v>347</v>
      </c>
      <c r="N19" s="233" t="s">
        <v>348</v>
      </c>
      <c r="O19" s="233" t="s">
        <v>349</v>
      </c>
      <c r="P19" s="233" t="s">
        <v>350</v>
      </c>
      <c r="Q19" s="233" t="s">
        <v>351</v>
      </c>
      <c r="R19" s="233"/>
      <c r="S19" s="237" t="s">
        <v>352</v>
      </c>
      <c r="T19" s="78"/>
      <c r="U19" s="78"/>
      <c r="V19" s="78"/>
      <c r="W19" s="78"/>
      <c r="X19" s="78"/>
      <c r="Y19" s="78"/>
    </row>
    <row r="20" spans="1:28" s="51" customFormat="1" ht="180.75" customHeight="1" x14ac:dyDescent="0.2">
      <c r="A20" s="233"/>
      <c r="B20" s="233"/>
      <c r="C20" s="236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157" t="s">
        <v>353</v>
      </c>
      <c r="R20" s="52" t="s">
        <v>354</v>
      </c>
      <c r="S20" s="237"/>
      <c r="T20" s="80"/>
      <c r="U20" s="80"/>
      <c r="V20" s="80"/>
      <c r="W20" s="80"/>
      <c r="X20" s="80"/>
      <c r="Y20" s="80"/>
      <c r="Z20" s="94"/>
      <c r="AA20" s="94"/>
      <c r="AB20" s="94"/>
    </row>
    <row r="21" spans="1:28" s="51" customFormat="1" ht="18.75" x14ac:dyDescent="0.2">
      <c r="A21" s="157">
        <v>1</v>
      </c>
      <c r="B21" s="181">
        <v>2</v>
      </c>
      <c r="C21" s="157">
        <v>3</v>
      </c>
      <c r="D21" s="181">
        <v>4</v>
      </c>
      <c r="E21" s="157">
        <v>5</v>
      </c>
      <c r="F21" s="181">
        <v>6</v>
      </c>
      <c r="G21" s="157">
        <v>7</v>
      </c>
      <c r="H21" s="181">
        <v>8</v>
      </c>
      <c r="I21" s="157">
        <v>9</v>
      </c>
      <c r="J21" s="181">
        <v>10</v>
      </c>
      <c r="K21" s="157">
        <v>11</v>
      </c>
      <c r="L21" s="181">
        <v>12</v>
      </c>
      <c r="M21" s="157">
        <v>13</v>
      </c>
      <c r="N21" s="181">
        <v>14</v>
      </c>
      <c r="O21" s="157">
        <v>15</v>
      </c>
      <c r="P21" s="181">
        <v>16</v>
      </c>
      <c r="Q21" s="157">
        <v>17</v>
      </c>
      <c r="R21" s="181">
        <v>18</v>
      </c>
      <c r="S21" s="157">
        <v>19</v>
      </c>
      <c r="T21" s="80"/>
      <c r="U21" s="80"/>
      <c r="V21" s="80"/>
      <c r="W21" s="80"/>
      <c r="X21" s="80"/>
      <c r="Y21" s="80"/>
      <c r="Z21" s="94"/>
      <c r="AA21" s="94"/>
      <c r="AB21" s="94"/>
    </row>
    <row r="22" spans="1:28" s="187" customFormat="1" ht="23.25" x14ac:dyDescent="0.2">
      <c r="A22" s="182">
        <v>1</v>
      </c>
      <c r="B22" s="183" t="s">
        <v>326</v>
      </c>
      <c r="C22" s="183" t="s">
        <v>326</v>
      </c>
      <c r="D22" s="183" t="str">
        <f>IF(B22="нд","нд",IF('3.3 паспорт описание'!C30="Объект введен на основные фонды",'3.3 паспорт описание'!C30,"в работе"))</f>
        <v>нд</v>
      </c>
      <c r="E22" s="75" t="s">
        <v>326</v>
      </c>
      <c r="F22" s="183" t="s">
        <v>326</v>
      </c>
      <c r="G22" s="183" t="s">
        <v>326</v>
      </c>
      <c r="H22" s="183" t="s">
        <v>326</v>
      </c>
      <c r="I22" s="184" t="s">
        <v>326</v>
      </c>
      <c r="J22" s="183" t="s">
        <v>326</v>
      </c>
      <c r="K22" s="75" t="s">
        <v>326</v>
      </c>
      <c r="L22" s="75" t="s">
        <v>326</v>
      </c>
      <c r="M22" s="183" t="s">
        <v>326</v>
      </c>
      <c r="N22" s="75" t="s">
        <v>326</v>
      </c>
      <c r="O22" s="75" t="s">
        <v>326</v>
      </c>
      <c r="P22" s="75" t="s">
        <v>326</v>
      </c>
      <c r="Q22" s="75" t="s">
        <v>326</v>
      </c>
      <c r="R22" s="75" t="s">
        <v>326</v>
      </c>
      <c r="S22" s="183" t="s">
        <v>326</v>
      </c>
      <c r="T22" s="185"/>
      <c r="U22" s="185"/>
      <c r="V22" s="185"/>
      <c r="W22" s="185"/>
      <c r="X22" s="185"/>
      <c r="Y22" s="185"/>
      <c r="Z22" s="186"/>
      <c r="AA22" s="186"/>
      <c r="AB22" s="186"/>
    </row>
    <row r="23" spans="1:28" s="187" customFormat="1" ht="18.75" x14ac:dyDescent="0.2">
      <c r="A23" s="5" t="s">
        <v>421</v>
      </c>
      <c r="B23" s="5" t="s">
        <v>421</v>
      </c>
      <c r="C23" s="5" t="e">
        <v>#N/A</v>
      </c>
      <c r="D23" s="5"/>
      <c r="E23" s="5" t="s">
        <v>421</v>
      </c>
      <c r="F23" s="5" t="s">
        <v>421</v>
      </c>
      <c r="G23" s="5" t="s">
        <v>421</v>
      </c>
      <c r="H23" s="5" t="s">
        <v>421</v>
      </c>
      <c r="I23" s="5"/>
      <c r="J23" s="5"/>
      <c r="K23" s="5"/>
      <c r="L23" s="5"/>
      <c r="M23" s="5" t="s">
        <v>421</v>
      </c>
      <c r="N23" s="5" t="s">
        <v>421</v>
      </c>
      <c r="O23" s="5" t="s">
        <v>421</v>
      </c>
      <c r="P23" s="5" t="s">
        <v>421</v>
      </c>
      <c r="Q23" s="5" t="s">
        <v>421</v>
      </c>
      <c r="R23" s="188"/>
      <c r="S23" s="188"/>
      <c r="T23" s="185"/>
      <c r="U23" s="185"/>
      <c r="V23" s="185"/>
      <c r="W23" s="185"/>
      <c r="X23" s="186"/>
      <c r="Y23" s="186"/>
      <c r="Z23" s="186"/>
      <c r="AA23" s="186"/>
      <c r="AB23" s="186"/>
    </row>
    <row r="24" spans="1:28" ht="20.25" customHeight="1" x14ac:dyDescent="0.25">
      <c r="A24" s="189"/>
      <c r="B24" s="183" t="s">
        <v>497</v>
      </c>
      <c r="C24" s="183"/>
      <c r="D24" s="183"/>
      <c r="E24" s="189" t="s">
        <v>498</v>
      </c>
      <c r="F24" s="189" t="s">
        <v>498</v>
      </c>
      <c r="G24" s="189" t="s">
        <v>498</v>
      </c>
      <c r="H24" s="189"/>
      <c r="I24" s="189"/>
      <c r="J24" s="189"/>
      <c r="K24" s="189"/>
      <c r="L24" s="189"/>
      <c r="M24" s="189"/>
      <c r="N24" s="189"/>
      <c r="O24" s="189"/>
      <c r="P24" s="189"/>
      <c r="Q24" s="190"/>
      <c r="R24" s="191"/>
      <c r="S24" s="191"/>
      <c r="T24" s="65"/>
      <c r="U24" s="65"/>
      <c r="V24" s="65"/>
      <c r="W24" s="65"/>
      <c r="X24" s="65"/>
      <c r="Y24" s="65"/>
      <c r="Z24" s="65"/>
      <c r="AA24" s="65"/>
      <c r="AB24" s="65"/>
    </row>
    <row r="25" spans="1:28" x14ac:dyDescent="0.25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</row>
    <row r="26" spans="1:28" x14ac:dyDescent="0.25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</row>
    <row r="27" spans="1:28" x14ac:dyDescent="0.25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</row>
    <row r="28" spans="1:28" x14ac:dyDescent="0.25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</row>
    <row r="29" spans="1:28" x14ac:dyDescent="0.25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</row>
    <row r="30" spans="1:28" x14ac:dyDescent="0.25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</row>
    <row r="31" spans="1:28" x14ac:dyDescent="0.25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</row>
    <row r="32" spans="1:28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</row>
    <row r="33" spans="1:28" x14ac:dyDescent="0.25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</row>
    <row r="34" spans="1:28" x14ac:dyDescent="0.25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</row>
    <row r="35" spans="1:28" x14ac:dyDescent="0.25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</row>
    <row r="36" spans="1:28" x14ac:dyDescent="0.25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</row>
    <row r="37" spans="1:28" x14ac:dyDescent="0.25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</row>
    <row r="38" spans="1:28" x14ac:dyDescent="0.25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</row>
    <row r="39" spans="1:28" x14ac:dyDescent="0.25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</row>
    <row r="40" spans="1:28" x14ac:dyDescent="0.25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</row>
    <row r="41" spans="1:28" x14ac:dyDescent="0.25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</row>
    <row r="42" spans="1:28" x14ac:dyDescent="0.25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</row>
    <row r="43" spans="1:28" x14ac:dyDescent="0.25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</row>
    <row r="44" spans="1:28" x14ac:dyDescent="0.25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</row>
    <row r="45" spans="1:28" x14ac:dyDescent="0.2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</row>
    <row r="46" spans="1:28" x14ac:dyDescent="0.2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</row>
    <row r="47" spans="1:28" x14ac:dyDescent="0.25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</row>
    <row r="48" spans="1:28" x14ac:dyDescent="0.25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</row>
    <row r="49" spans="1:28" x14ac:dyDescent="0.25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</row>
    <row r="50" spans="1:28" x14ac:dyDescent="0.25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</row>
    <row r="51" spans="1:28" x14ac:dyDescent="0.25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</row>
    <row r="52" spans="1:28" x14ac:dyDescent="0.25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</row>
    <row r="53" spans="1:28" x14ac:dyDescent="0.25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</row>
    <row r="54" spans="1:28" x14ac:dyDescent="0.25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</row>
    <row r="55" spans="1:28" x14ac:dyDescent="0.25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</row>
    <row r="56" spans="1:28" x14ac:dyDescent="0.25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</row>
    <row r="57" spans="1:28" x14ac:dyDescent="0.25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</row>
    <row r="58" spans="1:28" x14ac:dyDescent="0.25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</row>
    <row r="59" spans="1:28" x14ac:dyDescent="0.25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</row>
    <row r="60" spans="1:28" x14ac:dyDescent="0.25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</row>
    <row r="61" spans="1:28" x14ac:dyDescent="0.25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28" x14ac:dyDescent="0.25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28" x14ac:dyDescent="0.25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</row>
    <row r="64" spans="1:28" x14ac:dyDescent="0.25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</row>
    <row r="65" spans="1:28" x14ac:dyDescent="0.25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</row>
    <row r="66" spans="1:28" x14ac:dyDescent="0.25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</row>
    <row r="67" spans="1:28" x14ac:dyDescent="0.25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</row>
    <row r="68" spans="1:28" x14ac:dyDescent="0.25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</row>
    <row r="69" spans="1:28" x14ac:dyDescent="0.25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</row>
    <row r="70" spans="1:28" x14ac:dyDescent="0.25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</row>
    <row r="71" spans="1:28" x14ac:dyDescent="0.25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</row>
    <row r="72" spans="1:28" x14ac:dyDescent="0.25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</row>
    <row r="73" spans="1:28" x14ac:dyDescent="0.25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</row>
    <row r="74" spans="1:28" x14ac:dyDescent="0.25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</row>
    <row r="75" spans="1:28" x14ac:dyDescent="0.25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</row>
    <row r="76" spans="1:28" x14ac:dyDescent="0.25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</row>
    <row r="77" spans="1:28" x14ac:dyDescent="0.25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</row>
    <row r="78" spans="1:28" x14ac:dyDescent="0.25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</row>
    <row r="79" spans="1:28" x14ac:dyDescent="0.25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</row>
    <row r="80" spans="1:28" x14ac:dyDescent="0.25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</row>
    <row r="81" spans="1:28" x14ac:dyDescent="0.25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</row>
    <row r="82" spans="1:28" x14ac:dyDescent="0.25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</row>
    <row r="83" spans="1:28" x14ac:dyDescent="0.25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</row>
    <row r="84" spans="1:28" x14ac:dyDescent="0.25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</row>
    <row r="85" spans="1:28" x14ac:dyDescent="0.2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</row>
    <row r="86" spans="1:28" x14ac:dyDescent="0.25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</row>
    <row r="87" spans="1:28" x14ac:dyDescent="0.25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</row>
    <row r="88" spans="1:28" x14ac:dyDescent="0.25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</row>
    <row r="89" spans="1:28" x14ac:dyDescent="0.25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</row>
    <row r="90" spans="1:28" x14ac:dyDescent="0.25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</row>
    <row r="91" spans="1:28" x14ac:dyDescent="0.25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</row>
    <row r="92" spans="1:28" x14ac:dyDescent="0.25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</row>
    <row r="93" spans="1:28" x14ac:dyDescent="0.25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</row>
    <row r="94" spans="1:28" x14ac:dyDescent="0.25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</row>
    <row r="95" spans="1:28" x14ac:dyDescent="0.25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</row>
    <row r="96" spans="1:28" x14ac:dyDescent="0.25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</row>
    <row r="97" spans="1:28" x14ac:dyDescent="0.25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</row>
    <row r="98" spans="1:28" x14ac:dyDescent="0.25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</row>
    <row r="99" spans="1:28" x14ac:dyDescent="0.25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</row>
    <row r="100" spans="1:28" x14ac:dyDescent="0.25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</row>
    <row r="101" spans="1:28" x14ac:dyDescent="0.25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</row>
    <row r="102" spans="1:28" x14ac:dyDescent="0.25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</row>
    <row r="103" spans="1:28" x14ac:dyDescent="0.25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</row>
    <row r="104" spans="1:28" x14ac:dyDescent="0.25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</row>
    <row r="105" spans="1:28" x14ac:dyDescent="0.25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</row>
    <row r="106" spans="1:28" x14ac:dyDescent="0.25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</row>
    <row r="107" spans="1:28" x14ac:dyDescent="0.25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</row>
    <row r="108" spans="1:28" x14ac:dyDescent="0.25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AB108" s="65"/>
    </row>
    <row r="109" spans="1:28" x14ac:dyDescent="0.25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</row>
    <row r="110" spans="1:28" x14ac:dyDescent="0.25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AB110" s="65"/>
    </row>
    <row r="111" spans="1:28" x14ac:dyDescent="0.25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</row>
    <row r="112" spans="1:28" x14ac:dyDescent="0.25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</row>
    <row r="113" spans="1:28" x14ac:dyDescent="0.25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5"/>
    </row>
    <row r="114" spans="1:28" x14ac:dyDescent="0.25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AB114" s="65"/>
    </row>
    <row r="115" spans="1:28" x14ac:dyDescent="0.25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AB115" s="65"/>
    </row>
    <row r="116" spans="1:28" x14ac:dyDescent="0.25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AB116" s="65"/>
    </row>
    <row r="117" spans="1:28" x14ac:dyDescent="0.25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AB117" s="65"/>
    </row>
    <row r="118" spans="1:28" x14ac:dyDescent="0.25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  <c r="AA118" s="65"/>
      <c r="AB118" s="65"/>
    </row>
    <row r="119" spans="1:28" x14ac:dyDescent="0.25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</row>
    <row r="120" spans="1:28" x14ac:dyDescent="0.25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AB120" s="65"/>
    </row>
    <row r="121" spans="1:28" x14ac:dyDescent="0.25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</row>
    <row r="122" spans="1:28" x14ac:dyDescent="0.25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65"/>
      <c r="AB122" s="65"/>
    </row>
    <row r="123" spans="1:28" x14ac:dyDescent="0.25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</row>
    <row r="124" spans="1:28" x14ac:dyDescent="0.25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5"/>
    </row>
    <row r="125" spans="1:28" x14ac:dyDescent="0.25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</row>
    <row r="126" spans="1:28" x14ac:dyDescent="0.25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</row>
    <row r="127" spans="1:28" x14ac:dyDescent="0.25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</row>
    <row r="128" spans="1:28" x14ac:dyDescent="0.25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</row>
    <row r="129" spans="1:28" x14ac:dyDescent="0.25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</row>
    <row r="130" spans="1:28" x14ac:dyDescent="0.25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</row>
    <row r="131" spans="1:28" x14ac:dyDescent="0.25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</row>
    <row r="132" spans="1:28" x14ac:dyDescent="0.25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  <c r="AA132" s="65"/>
      <c r="AB132" s="65"/>
    </row>
    <row r="133" spans="1:28" x14ac:dyDescent="0.25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</row>
    <row r="134" spans="1:28" x14ac:dyDescent="0.25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</row>
    <row r="135" spans="1:28" x14ac:dyDescent="0.25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</row>
    <row r="136" spans="1:28" x14ac:dyDescent="0.25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</row>
    <row r="137" spans="1:28" x14ac:dyDescent="0.25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AB137" s="65"/>
    </row>
    <row r="138" spans="1:28" x14ac:dyDescent="0.25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65"/>
      <c r="AB138" s="65"/>
    </row>
    <row r="139" spans="1:28" x14ac:dyDescent="0.25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</row>
    <row r="140" spans="1:28" x14ac:dyDescent="0.25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</row>
    <row r="141" spans="1:28" x14ac:dyDescent="0.25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5"/>
    </row>
    <row r="142" spans="1:28" x14ac:dyDescent="0.25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</row>
    <row r="143" spans="1:28" x14ac:dyDescent="0.25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5"/>
    </row>
    <row r="144" spans="1:28" x14ac:dyDescent="0.25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5"/>
    </row>
    <row r="145" spans="1:28" x14ac:dyDescent="0.2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</row>
    <row r="146" spans="1:28" x14ac:dyDescent="0.25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</row>
    <row r="147" spans="1:28" x14ac:dyDescent="0.25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</row>
    <row r="148" spans="1:28" x14ac:dyDescent="0.25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65"/>
      <c r="AB148" s="65"/>
    </row>
    <row r="149" spans="1:28" x14ac:dyDescent="0.25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5"/>
    </row>
    <row r="150" spans="1:28" x14ac:dyDescent="0.25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</row>
    <row r="151" spans="1:28" x14ac:dyDescent="0.25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</row>
    <row r="152" spans="1:28" x14ac:dyDescent="0.25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AB152" s="65"/>
    </row>
    <row r="153" spans="1:28" x14ac:dyDescent="0.25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5"/>
    </row>
    <row r="154" spans="1:28" x14ac:dyDescent="0.25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5"/>
    </row>
    <row r="155" spans="1:28" x14ac:dyDescent="0.25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  <c r="AB155" s="65"/>
    </row>
    <row r="156" spans="1:28" x14ac:dyDescent="0.25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</row>
    <row r="157" spans="1:28" x14ac:dyDescent="0.25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</row>
    <row r="158" spans="1:28" x14ac:dyDescent="0.25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</row>
    <row r="159" spans="1:28" x14ac:dyDescent="0.25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  <c r="AB159" s="65"/>
    </row>
    <row r="160" spans="1:28" x14ac:dyDescent="0.25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</row>
    <row r="161" spans="1:28" x14ac:dyDescent="0.25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</row>
    <row r="162" spans="1:28" x14ac:dyDescent="0.25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  <c r="AB162" s="65"/>
    </row>
    <row r="163" spans="1:28" x14ac:dyDescent="0.25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</row>
    <row r="164" spans="1:28" x14ac:dyDescent="0.25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</row>
    <row r="165" spans="1:28" x14ac:dyDescent="0.25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65"/>
      <c r="AB165" s="65"/>
    </row>
    <row r="166" spans="1:28" x14ac:dyDescent="0.25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</row>
    <row r="167" spans="1:28" x14ac:dyDescent="0.25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5"/>
    </row>
    <row r="168" spans="1:28" x14ac:dyDescent="0.25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</row>
    <row r="169" spans="1:28" x14ac:dyDescent="0.25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</row>
    <row r="170" spans="1:28" x14ac:dyDescent="0.25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</row>
    <row r="171" spans="1:28" x14ac:dyDescent="0.25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</row>
    <row r="172" spans="1:28" x14ac:dyDescent="0.25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5"/>
    </row>
    <row r="173" spans="1:28" x14ac:dyDescent="0.25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  <c r="AB173" s="65"/>
    </row>
    <row r="174" spans="1:28" x14ac:dyDescent="0.25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</row>
    <row r="175" spans="1:28" x14ac:dyDescent="0.25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5"/>
    </row>
    <row r="176" spans="1:28" x14ac:dyDescent="0.25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</row>
    <row r="177" spans="1:28" x14ac:dyDescent="0.25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5"/>
    </row>
    <row r="178" spans="1:28" x14ac:dyDescent="0.25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</row>
    <row r="179" spans="1:28" x14ac:dyDescent="0.25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</row>
    <row r="180" spans="1:28" x14ac:dyDescent="0.25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</row>
    <row r="181" spans="1:28" x14ac:dyDescent="0.25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</row>
    <row r="182" spans="1:28" x14ac:dyDescent="0.25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</row>
    <row r="183" spans="1:28" x14ac:dyDescent="0.25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5"/>
    </row>
    <row r="184" spans="1:28" x14ac:dyDescent="0.25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</row>
    <row r="185" spans="1:28" x14ac:dyDescent="0.25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</row>
    <row r="186" spans="1:28" x14ac:dyDescent="0.25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</row>
    <row r="187" spans="1:28" x14ac:dyDescent="0.25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</row>
    <row r="188" spans="1:28" x14ac:dyDescent="0.25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</row>
    <row r="189" spans="1:28" x14ac:dyDescent="0.25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</row>
    <row r="190" spans="1:28" x14ac:dyDescent="0.25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</row>
    <row r="191" spans="1:28" x14ac:dyDescent="0.25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</row>
    <row r="192" spans="1:28" x14ac:dyDescent="0.25">
      <c r="A192" s="65"/>
      <c r="B192" s="65"/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</row>
    <row r="193" spans="1:28" x14ac:dyDescent="0.25">
      <c r="A193" s="65"/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</row>
    <row r="194" spans="1:28" x14ac:dyDescent="0.25">
      <c r="A194" s="65"/>
      <c r="B194" s="65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AB194" s="65"/>
    </row>
    <row r="195" spans="1:28" x14ac:dyDescent="0.25">
      <c r="A195" s="65"/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</row>
    <row r="196" spans="1:28" x14ac:dyDescent="0.25">
      <c r="A196" s="65"/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</row>
    <row r="197" spans="1:28" x14ac:dyDescent="0.25">
      <c r="A197" s="65"/>
      <c r="B197" s="65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5"/>
    </row>
    <row r="198" spans="1:28" x14ac:dyDescent="0.25">
      <c r="A198" s="65"/>
      <c r="B198" s="65"/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</row>
    <row r="199" spans="1:28" x14ac:dyDescent="0.25">
      <c r="A199" s="65"/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</row>
    <row r="200" spans="1:28" x14ac:dyDescent="0.25">
      <c r="A200" s="65"/>
      <c r="B200" s="65"/>
      <c r="C200" s="65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</row>
    <row r="201" spans="1:28" x14ac:dyDescent="0.25">
      <c r="A201" s="65"/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</row>
    <row r="202" spans="1:28" x14ac:dyDescent="0.25">
      <c r="A202" s="65"/>
      <c r="B202" s="65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5"/>
    </row>
    <row r="203" spans="1:28" x14ac:dyDescent="0.25">
      <c r="A203" s="65"/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65"/>
      <c r="AB203" s="65"/>
    </row>
    <row r="204" spans="1:28" x14ac:dyDescent="0.25">
      <c r="A204" s="65"/>
      <c r="B204" s="65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5"/>
    </row>
    <row r="205" spans="1:28" x14ac:dyDescent="0.25">
      <c r="A205" s="65"/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AB205" s="65"/>
    </row>
    <row r="206" spans="1:28" x14ac:dyDescent="0.25">
      <c r="A206" s="65"/>
      <c r="B206" s="65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  <c r="AB206" s="65"/>
    </row>
    <row r="207" spans="1:28" x14ac:dyDescent="0.25">
      <c r="A207" s="65"/>
      <c r="B207" s="65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</row>
    <row r="208" spans="1:28" x14ac:dyDescent="0.25">
      <c r="A208" s="65"/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</row>
    <row r="209" spans="1:28" x14ac:dyDescent="0.25">
      <c r="A209" s="65"/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</row>
    <row r="210" spans="1:28" x14ac:dyDescent="0.25">
      <c r="A210" s="65"/>
      <c r="B210" s="65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</row>
    <row r="211" spans="1:28" x14ac:dyDescent="0.25">
      <c r="A211" s="65"/>
      <c r="B211" s="65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</row>
    <row r="212" spans="1:28" x14ac:dyDescent="0.25">
      <c r="A212" s="65"/>
      <c r="B212" s="65"/>
      <c r="C212" s="65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AB212" s="65"/>
    </row>
    <row r="213" spans="1:28" x14ac:dyDescent="0.25">
      <c r="A213" s="65"/>
      <c r="B213" s="65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5"/>
    </row>
    <row r="214" spans="1:28" x14ac:dyDescent="0.25">
      <c r="A214" s="65"/>
      <c r="B214" s="65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</row>
    <row r="215" spans="1:28" x14ac:dyDescent="0.25">
      <c r="A215" s="65"/>
      <c r="B215" s="65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5"/>
    </row>
    <row r="216" spans="1:28" x14ac:dyDescent="0.25">
      <c r="A216" s="65"/>
      <c r="B216" s="65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5"/>
    </row>
    <row r="217" spans="1:28" x14ac:dyDescent="0.25">
      <c r="A217" s="65"/>
      <c r="B217" s="65"/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AB217" s="65"/>
    </row>
    <row r="218" spans="1:28" x14ac:dyDescent="0.25">
      <c r="A218" s="65"/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</row>
    <row r="219" spans="1:28" x14ac:dyDescent="0.25">
      <c r="A219" s="65"/>
      <c r="B219" s="65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</row>
    <row r="220" spans="1:28" x14ac:dyDescent="0.25">
      <c r="A220" s="65"/>
      <c r="B220" s="65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5"/>
    </row>
    <row r="221" spans="1:28" x14ac:dyDescent="0.25">
      <c r="A221" s="65"/>
      <c r="B221" s="65"/>
      <c r="C221" s="65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/>
      <c r="Z221" s="65"/>
      <c r="AA221" s="65"/>
      <c r="AB221" s="65"/>
    </row>
    <row r="222" spans="1:28" x14ac:dyDescent="0.25">
      <c r="A222" s="65"/>
      <c r="B222" s="65"/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A222" s="65"/>
      <c r="AB222" s="65"/>
    </row>
    <row r="223" spans="1:28" x14ac:dyDescent="0.25">
      <c r="A223" s="65"/>
      <c r="B223" s="65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65"/>
      <c r="AB223" s="65"/>
    </row>
    <row r="224" spans="1:28" x14ac:dyDescent="0.25">
      <c r="A224" s="65"/>
      <c r="B224" s="65"/>
      <c r="C224" s="65"/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A224" s="65"/>
      <c r="AB224" s="65"/>
    </row>
    <row r="225" spans="1:28" x14ac:dyDescent="0.25">
      <c r="A225" s="65"/>
      <c r="B225" s="65"/>
      <c r="C225" s="65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65"/>
      <c r="AB225" s="65"/>
    </row>
    <row r="226" spans="1:28" x14ac:dyDescent="0.25">
      <c r="A226" s="65"/>
      <c r="B226" s="65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  <c r="AB226" s="65"/>
    </row>
    <row r="227" spans="1:28" x14ac:dyDescent="0.25">
      <c r="A227" s="65"/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A227" s="65"/>
      <c r="AB227" s="65"/>
    </row>
    <row r="228" spans="1:28" x14ac:dyDescent="0.25">
      <c r="A228" s="65"/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</row>
    <row r="229" spans="1:28" x14ac:dyDescent="0.25">
      <c r="A229" s="65"/>
      <c r="B229" s="65"/>
      <c r="C229" s="65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65"/>
      <c r="AB229" s="65"/>
    </row>
    <row r="230" spans="1:28" x14ac:dyDescent="0.25">
      <c r="A230" s="65"/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65"/>
      <c r="AB230" s="65"/>
    </row>
    <row r="231" spans="1:28" x14ac:dyDescent="0.25">
      <c r="A231" s="65"/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65"/>
    </row>
    <row r="232" spans="1:28" x14ac:dyDescent="0.25">
      <c r="A232" s="65"/>
      <c r="B232" s="65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A232" s="65"/>
      <c r="AB232" s="65"/>
    </row>
    <row r="233" spans="1:28" x14ac:dyDescent="0.25">
      <c r="A233" s="65"/>
      <c r="B233" s="65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5"/>
    </row>
    <row r="234" spans="1:28" x14ac:dyDescent="0.25">
      <c r="A234" s="65"/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A234" s="65"/>
      <c r="AB234" s="65"/>
    </row>
    <row r="235" spans="1:28" x14ac:dyDescent="0.25">
      <c r="A235" s="65"/>
      <c r="B235" s="65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/>
      <c r="Z235" s="65"/>
      <c r="AA235" s="65"/>
      <c r="AB235" s="65"/>
    </row>
    <row r="236" spans="1:28" x14ac:dyDescent="0.25">
      <c r="A236" s="65"/>
      <c r="B236" s="65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/>
      <c r="Z236" s="65"/>
      <c r="AA236" s="65"/>
      <c r="AB236" s="65"/>
    </row>
    <row r="237" spans="1:28" x14ac:dyDescent="0.25">
      <c r="A237" s="65"/>
      <c r="B237" s="65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/>
      <c r="Z237" s="65"/>
      <c r="AA237" s="65"/>
      <c r="AB237" s="65"/>
    </row>
    <row r="238" spans="1:28" x14ac:dyDescent="0.25">
      <c r="A238" s="65"/>
      <c r="B238" s="65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/>
      <c r="Z238" s="65"/>
      <c r="AA238" s="65"/>
      <c r="AB238" s="65"/>
    </row>
    <row r="239" spans="1:28" x14ac:dyDescent="0.25">
      <c r="A239" s="65"/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A239" s="65"/>
      <c r="AB239" s="65"/>
    </row>
    <row r="240" spans="1:28" x14ac:dyDescent="0.25">
      <c r="A240" s="65"/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A240" s="65"/>
      <c r="AB240" s="65"/>
    </row>
    <row r="241" spans="1:28" x14ac:dyDescent="0.25">
      <c r="A241" s="65"/>
      <c r="B241" s="65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/>
      <c r="Z241" s="65"/>
      <c r="AA241" s="65"/>
      <c r="AB241" s="65"/>
    </row>
    <row r="242" spans="1:28" x14ac:dyDescent="0.25">
      <c r="A242" s="65"/>
      <c r="B242" s="65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/>
      <c r="Z242" s="65"/>
      <c r="AA242" s="65"/>
      <c r="AB242" s="65"/>
    </row>
    <row r="243" spans="1:28" x14ac:dyDescent="0.25">
      <c r="A243" s="65"/>
      <c r="B243" s="65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/>
      <c r="Z243" s="65"/>
      <c r="AA243" s="65"/>
      <c r="AB243" s="65"/>
    </row>
    <row r="244" spans="1:28" x14ac:dyDescent="0.25">
      <c r="A244" s="65"/>
      <c r="B244" s="65"/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/>
      <c r="Z244" s="65"/>
      <c r="AA244" s="65"/>
      <c r="AB244" s="65"/>
    </row>
    <row r="245" spans="1:28" x14ac:dyDescent="0.25">
      <c r="A245" s="65"/>
      <c r="B245" s="65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/>
      <c r="Z245" s="65"/>
      <c r="AA245" s="65"/>
      <c r="AB245" s="65"/>
    </row>
    <row r="246" spans="1:28" x14ac:dyDescent="0.25">
      <c r="A246" s="65"/>
      <c r="B246" s="65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/>
      <c r="Z246" s="65"/>
      <c r="AA246" s="65"/>
      <c r="AB246" s="65"/>
    </row>
    <row r="247" spans="1:28" x14ac:dyDescent="0.25">
      <c r="A247" s="65"/>
      <c r="B247" s="65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/>
      <c r="Z247" s="65"/>
      <c r="AA247" s="65"/>
      <c r="AB247" s="65"/>
    </row>
    <row r="248" spans="1:28" x14ac:dyDescent="0.25">
      <c r="A248" s="65"/>
      <c r="B248" s="65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/>
      <c r="Z248" s="65"/>
      <c r="AA248" s="65"/>
      <c r="AB248" s="65"/>
    </row>
    <row r="249" spans="1:28" x14ac:dyDescent="0.25">
      <c r="A249" s="65"/>
      <c r="B249" s="65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/>
      <c r="Z249" s="65"/>
      <c r="AA249" s="65"/>
      <c r="AB249" s="65"/>
    </row>
    <row r="250" spans="1:28" x14ac:dyDescent="0.25">
      <c r="A250" s="65"/>
      <c r="B250" s="65"/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65"/>
      <c r="AB250" s="65"/>
    </row>
    <row r="251" spans="1:28" x14ac:dyDescent="0.25">
      <c r="A251" s="65"/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A251" s="65"/>
      <c r="AB251" s="65"/>
    </row>
    <row r="252" spans="1:28" x14ac:dyDescent="0.25">
      <c r="A252" s="65"/>
      <c r="B252" s="65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A252" s="65"/>
      <c r="AB252" s="65"/>
    </row>
    <row r="253" spans="1:28" x14ac:dyDescent="0.25">
      <c r="A253" s="65"/>
      <c r="B253" s="65"/>
      <c r="C253" s="65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/>
      <c r="Z253" s="65"/>
      <c r="AA253" s="65"/>
      <c r="AB253" s="65"/>
    </row>
    <row r="254" spans="1:28" x14ac:dyDescent="0.25">
      <c r="A254" s="65"/>
      <c r="B254" s="65"/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/>
      <c r="Z254" s="65"/>
      <c r="AA254" s="65"/>
      <c r="AB254" s="65"/>
    </row>
    <row r="255" spans="1:28" x14ac:dyDescent="0.25">
      <c r="A255" s="65"/>
      <c r="B255" s="65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/>
      <c r="Z255" s="65"/>
      <c r="AA255" s="65"/>
      <c r="AB255" s="65"/>
    </row>
    <row r="256" spans="1:28" x14ac:dyDescent="0.25">
      <c r="A256" s="65"/>
      <c r="B256" s="65"/>
      <c r="C256" s="65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/>
      <c r="Z256" s="65"/>
      <c r="AA256" s="65"/>
      <c r="AB256" s="65"/>
    </row>
    <row r="257" spans="1:28" x14ac:dyDescent="0.25">
      <c r="A257" s="65"/>
      <c r="B257" s="65"/>
      <c r="C257" s="65"/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/>
      <c r="Z257" s="65"/>
      <c r="AA257" s="65"/>
      <c r="AB257" s="65"/>
    </row>
    <row r="258" spans="1:28" x14ac:dyDescent="0.25">
      <c r="A258" s="65"/>
      <c r="B258" s="65"/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A258" s="65"/>
      <c r="AB258" s="65"/>
    </row>
    <row r="259" spans="1:28" x14ac:dyDescent="0.25">
      <c r="A259" s="65"/>
      <c r="B259" s="65"/>
      <c r="C259" s="65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/>
      <c r="Z259" s="65"/>
      <c r="AA259" s="65"/>
      <c r="AB259" s="65"/>
    </row>
    <row r="260" spans="1:28" x14ac:dyDescent="0.25">
      <c r="A260" s="65"/>
      <c r="B260" s="65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/>
      <c r="Z260" s="65"/>
      <c r="AA260" s="65"/>
      <c r="AB260" s="65"/>
    </row>
    <row r="261" spans="1:28" x14ac:dyDescent="0.25">
      <c r="A261" s="65"/>
      <c r="B261" s="65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A261" s="65"/>
      <c r="AB261" s="65"/>
    </row>
    <row r="262" spans="1:28" x14ac:dyDescent="0.25">
      <c r="A262" s="65"/>
      <c r="B262" s="65"/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/>
      <c r="Z262" s="65"/>
      <c r="AA262" s="65"/>
      <c r="AB262" s="65"/>
    </row>
    <row r="263" spans="1:28" x14ac:dyDescent="0.25">
      <c r="A263" s="65"/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AB263" s="65"/>
    </row>
    <row r="264" spans="1:28" x14ac:dyDescent="0.25">
      <c r="A264" s="65"/>
      <c r="B264" s="65"/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AB264" s="65"/>
    </row>
    <row r="265" spans="1:28" x14ac:dyDescent="0.25">
      <c r="A265" s="65"/>
      <c r="B265" s="65"/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  <c r="Z265" s="65"/>
      <c r="AA265" s="65"/>
      <c r="AB265" s="65"/>
    </row>
    <row r="266" spans="1:28" x14ac:dyDescent="0.25">
      <c r="A266" s="65"/>
      <c r="B266" s="65"/>
      <c r="C266" s="65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A266" s="65"/>
      <c r="AB266" s="65"/>
    </row>
    <row r="267" spans="1:28" x14ac:dyDescent="0.25">
      <c r="A267" s="65"/>
      <c r="B267" s="65"/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65"/>
      <c r="AB267" s="65"/>
    </row>
    <row r="268" spans="1:28" x14ac:dyDescent="0.25">
      <c r="A268" s="65"/>
      <c r="B268" s="65"/>
      <c r="C268" s="65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A268" s="65"/>
      <c r="AB268" s="65"/>
    </row>
    <row r="269" spans="1:28" x14ac:dyDescent="0.25">
      <c r="A269" s="65"/>
      <c r="B269" s="65"/>
      <c r="C269" s="65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65"/>
      <c r="AB269" s="65"/>
    </row>
    <row r="270" spans="1:28" x14ac:dyDescent="0.25">
      <c r="A270" s="65"/>
      <c r="B270" s="65"/>
      <c r="C270" s="65"/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/>
      <c r="Z270" s="65"/>
      <c r="AA270" s="65"/>
      <c r="AB270" s="65"/>
    </row>
    <row r="271" spans="1:28" x14ac:dyDescent="0.25">
      <c r="A271" s="65"/>
      <c r="B271" s="65"/>
      <c r="C271" s="65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/>
      <c r="Z271" s="65"/>
      <c r="AA271" s="65"/>
      <c r="AB271" s="65"/>
    </row>
    <row r="272" spans="1:28" x14ac:dyDescent="0.25">
      <c r="A272" s="65"/>
      <c r="B272" s="65"/>
      <c r="C272" s="65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/>
      <c r="Z272" s="65"/>
      <c r="AA272" s="65"/>
      <c r="AB272" s="65"/>
    </row>
    <row r="273" spans="1:28" x14ac:dyDescent="0.25">
      <c r="A273" s="65"/>
      <c r="B273" s="65"/>
      <c r="C273" s="65"/>
      <c r="D273" s="65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/>
      <c r="Z273" s="65"/>
      <c r="AA273" s="65"/>
      <c r="AB273" s="65"/>
    </row>
    <row r="274" spans="1:28" x14ac:dyDescent="0.25">
      <c r="A274" s="65"/>
      <c r="B274" s="65"/>
      <c r="C274" s="65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/>
      <c r="Z274" s="65"/>
      <c r="AA274" s="65"/>
      <c r="AB274" s="65"/>
    </row>
    <row r="275" spans="1:28" x14ac:dyDescent="0.25">
      <c r="A275" s="65"/>
      <c r="B275" s="65"/>
      <c r="C275" s="65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/>
      <c r="Z275" s="65"/>
      <c r="AA275" s="65"/>
      <c r="AB275" s="65"/>
    </row>
    <row r="276" spans="1:28" x14ac:dyDescent="0.25">
      <c r="A276" s="65"/>
      <c r="B276" s="65"/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/>
      <c r="Z276" s="65"/>
      <c r="AA276" s="65"/>
      <c r="AB276" s="65"/>
    </row>
    <row r="277" spans="1:28" x14ac:dyDescent="0.25">
      <c r="A277" s="65"/>
      <c r="B277" s="65"/>
      <c r="C277" s="65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/>
      <c r="Z277" s="65"/>
      <c r="AA277" s="65"/>
      <c r="AB277" s="65"/>
    </row>
    <row r="278" spans="1:28" x14ac:dyDescent="0.25">
      <c r="A278" s="65"/>
      <c r="B278" s="65"/>
      <c r="C278" s="65"/>
      <c r="D278" s="65"/>
      <c r="E278" s="65"/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/>
      <c r="Z278" s="65"/>
      <c r="AA278" s="65"/>
      <c r="AB278" s="65"/>
    </row>
    <row r="279" spans="1:28" x14ac:dyDescent="0.25">
      <c r="A279" s="65"/>
      <c r="B279" s="65"/>
      <c r="C279" s="65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/>
      <c r="Z279" s="65"/>
      <c r="AA279" s="65"/>
      <c r="AB279" s="65"/>
    </row>
    <row r="280" spans="1:28" x14ac:dyDescent="0.25">
      <c r="A280" s="65"/>
      <c r="B280" s="65"/>
      <c r="C280" s="65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/>
      <c r="Z280" s="65"/>
      <c r="AA280" s="65"/>
      <c r="AB280" s="65"/>
    </row>
    <row r="281" spans="1:28" x14ac:dyDescent="0.25">
      <c r="A281" s="65"/>
      <c r="B281" s="65"/>
      <c r="C281" s="65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/>
      <c r="Z281" s="65"/>
      <c r="AA281" s="65"/>
      <c r="AB281" s="65"/>
    </row>
    <row r="282" spans="1:28" x14ac:dyDescent="0.25">
      <c r="A282" s="65"/>
      <c r="B282" s="65"/>
      <c r="C282" s="65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/>
      <c r="Z282" s="65"/>
      <c r="AA282" s="65"/>
      <c r="AB282" s="65"/>
    </row>
    <row r="283" spans="1:28" x14ac:dyDescent="0.25">
      <c r="A283" s="65"/>
      <c r="B283" s="65"/>
      <c r="C283" s="65"/>
      <c r="D283" s="65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/>
      <c r="Z283" s="65"/>
      <c r="AA283" s="65"/>
      <c r="AB283" s="65"/>
    </row>
    <row r="284" spans="1:28" x14ac:dyDescent="0.25">
      <c r="A284" s="65"/>
      <c r="B284" s="65"/>
      <c r="C284" s="65"/>
      <c r="D284" s="65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/>
      <c r="Z284" s="65"/>
      <c r="AA284" s="65"/>
      <c r="AB284" s="65"/>
    </row>
    <row r="285" spans="1:28" x14ac:dyDescent="0.25">
      <c r="A285" s="65"/>
      <c r="B285" s="65"/>
      <c r="C285" s="65"/>
      <c r="D285" s="65"/>
      <c r="E285" s="65"/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/>
      <c r="Z285" s="65"/>
      <c r="AA285" s="65"/>
      <c r="AB285" s="65"/>
    </row>
    <row r="286" spans="1:28" x14ac:dyDescent="0.25">
      <c r="A286" s="65"/>
      <c r="B286" s="65"/>
      <c r="C286" s="65"/>
      <c r="D286" s="65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/>
      <c r="Z286" s="65"/>
      <c r="AA286" s="65"/>
      <c r="AB286" s="65"/>
    </row>
    <row r="287" spans="1:28" x14ac:dyDescent="0.25">
      <c r="A287" s="65"/>
      <c r="B287" s="65"/>
      <c r="C287" s="65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/>
      <c r="Z287" s="65"/>
      <c r="AA287" s="65"/>
      <c r="AB287" s="65"/>
    </row>
    <row r="288" spans="1:28" x14ac:dyDescent="0.25">
      <c r="A288" s="65"/>
      <c r="B288" s="65"/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/>
      <c r="Z288" s="65"/>
      <c r="AA288" s="65"/>
      <c r="AB288" s="65"/>
    </row>
    <row r="289" spans="1:28" x14ac:dyDescent="0.25">
      <c r="A289" s="65"/>
      <c r="B289" s="65"/>
      <c r="C289" s="65"/>
      <c r="D289" s="65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A289" s="65"/>
      <c r="AB289" s="65"/>
    </row>
    <row r="290" spans="1:28" x14ac:dyDescent="0.25">
      <c r="A290" s="65"/>
      <c r="B290" s="65"/>
      <c r="C290" s="65"/>
      <c r="D290" s="65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/>
      <c r="Z290" s="65"/>
      <c r="AA290" s="65"/>
      <c r="AB290" s="65"/>
    </row>
    <row r="291" spans="1:28" x14ac:dyDescent="0.25">
      <c r="A291" s="65"/>
      <c r="B291" s="65"/>
      <c r="C291" s="65"/>
      <c r="D291" s="65"/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/>
      <c r="Z291" s="65"/>
      <c r="AA291" s="65"/>
      <c r="AB291" s="65"/>
    </row>
    <row r="292" spans="1:28" x14ac:dyDescent="0.25">
      <c r="A292" s="65"/>
      <c r="B292" s="65"/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/>
      <c r="Z292" s="65"/>
      <c r="AA292" s="65"/>
      <c r="AB292" s="65"/>
    </row>
    <row r="293" spans="1:28" x14ac:dyDescent="0.25">
      <c r="A293" s="65"/>
      <c r="B293" s="65"/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/>
      <c r="Z293" s="65"/>
      <c r="AA293" s="65"/>
      <c r="AB293" s="65"/>
    </row>
    <row r="294" spans="1:28" x14ac:dyDescent="0.25">
      <c r="A294" s="65"/>
      <c r="B294" s="65"/>
      <c r="C294" s="65"/>
      <c r="D294" s="65"/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/>
      <c r="Z294" s="65"/>
      <c r="AA294" s="65"/>
      <c r="AB294" s="65"/>
    </row>
    <row r="295" spans="1:28" x14ac:dyDescent="0.25">
      <c r="A295" s="65"/>
      <c r="B295" s="65"/>
      <c r="C295" s="65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/>
      <c r="Z295" s="65"/>
      <c r="AA295" s="65"/>
      <c r="AB295" s="65"/>
    </row>
    <row r="296" spans="1:28" x14ac:dyDescent="0.25">
      <c r="A296" s="65"/>
      <c r="B296" s="65"/>
      <c r="C296" s="65"/>
      <c r="D296" s="65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/>
      <c r="Z296" s="65"/>
      <c r="AA296" s="65"/>
      <c r="AB296" s="65"/>
    </row>
    <row r="297" spans="1:28" x14ac:dyDescent="0.25">
      <c r="A297" s="65"/>
      <c r="B297" s="65"/>
      <c r="C297" s="65"/>
      <c r="D297" s="65"/>
      <c r="E297" s="65"/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/>
      <c r="Z297" s="65"/>
      <c r="AA297" s="65"/>
      <c r="AB297" s="65"/>
    </row>
    <row r="298" spans="1:28" x14ac:dyDescent="0.25">
      <c r="A298" s="65"/>
      <c r="B298" s="65"/>
      <c r="C298" s="65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/>
      <c r="Z298" s="65"/>
      <c r="AA298" s="65"/>
      <c r="AB298" s="65"/>
    </row>
    <row r="299" spans="1:28" x14ac:dyDescent="0.25">
      <c r="A299" s="65"/>
      <c r="B299" s="65"/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  <c r="Z299" s="65"/>
      <c r="AA299" s="65"/>
      <c r="AB299" s="65"/>
    </row>
    <row r="300" spans="1:28" x14ac:dyDescent="0.25">
      <c r="A300" s="65"/>
      <c r="B300" s="65"/>
      <c r="C300" s="65"/>
      <c r="D300" s="65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/>
      <c r="Z300" s="65"/>
      <c r="AA300" s="65"/>
      <c r="AB300" s="65"/>
    </row>
    <row r="301" spans="1:28" x14ac:dyDescent="0.25">
      <c r="A301" s="65"/>
      <c r="B301" s="65"/>
      <c r="C301" s="65"/>
      <c r="D301" s="65"/>
      <c r="E301" s="65"/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65"/>
      <c r="AB301" s="65"/>
    </row>
    <row r="302" spans="1:28" x14ac:dyDescent="0.25">
      <c r="A302" s="65"/>
      <c r="B302" s="65"/>
      <c r="C302" s="65"/>
      <c r="D302" s="65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65"/>
      <c r="AB302" s="65"/>
    </row>
    <row r="303" spans="1:28" x14ac:dyDescent="0.25">
      <c r="A303" s="65"/>
      <c r="B303" s="65"/>
      <c r="C303" s="65"/>
      <c r="D303" s="65"/>
      <c r="E303" s="65"/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65"/>
      <c r="AB303" s="65"/>
    </row>
    <row r="304" spans="1:28" x14ac:dyDescent="0.25">
      <c r="A304" s="65"/>
      <c r="B304" s="65"/>
      <c r="C304" s="65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</row>
    <row r="305" spans="1:28" x14ac:dyDescent="0.25">
      <c r="A305" s="65"/>
      <c r="B305" s="65"/>
      <c r="C305" s="65"/>
      <c r="D305" s="65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AB305" s="65"/>
    </row>
    <row r="306" spans="1:28" x14ac:dyDescent="0.25">
      <c r="A306" s="65"/>
      <c r="B306" s="65"/>
      <c r="C306" s="65"/>
      <c r="D306" s="65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65"/>
      <c r="AB306" s="65"/>
    </row>
    <row r="307" spans="1:28" x14ac:dyDescent="0.25">
      <c r="A307" s="65"/>
      <c r="B307" s="65"/>
      <c r="C307" s="65"/>
      <c r="D307" s="65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AB307" s="65"/>
    </row>
    <row r="308" spans="1:28" x14ac:dyDescent="0.25">
      <c r="A308" s="65"/>
      <c r="B308" s="65"/>
      <c r="C308" s="65"/>
      <c r="D308" s="65"/>
      <c r="E308" s="65"/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A308" s="65"/>
      <c r="AB308" s="65"/>
    </row>
    <row r="309" spans="1:28" x14ac:dyDescent="0.25">
      <c r="A309" s="65"/>
      <c r="B309" s="65"/>
      <c r="C309" s="65"/>
      <c r="D309" s="65"/>
      <c r="E309" s="65"/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65"/>
      <c r="AB309" s="65"/>
    </row>
    <row r="310" spans="1:28" x14ac:dyDescent="0.25">
      <c r="A310" s="65"/>
      <c r="B310" s="65"/>
      <c r="C310" s="65"/>
      <c r="D310" s="65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/>
      <c r="Z310" s="65"/>
      <c r="AA310" s="65"/>
      <c r="AB310" s="65"/>
    </row>
    <row r="311" spans="1:28" x14ac:dyDescent="0.25">
      <c r="A311" s="65"/>
      <c r="B311" s="65"/>
      <c r="C311" s="65"/>
      <c r="D311" s="65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</row>
    <row r="312" spans="1:28" x14ac:dyDescent="0.25">
      <c r="A312" s="65"/>
      <c r="B312" s="65"/>
      <c r="C312" s="65"/>
      <c r="D312" s="65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</row>
    <row r="313" spans="1:28" x14ac:dyDescent="0.25">
      <c r="A313" s="65"/>
      <c r="B313" s="65"/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</row>
    <row r="314" spans="1:28" x14ac:dyDescent="0.25">
      <c r="A314" s="65"/>
      <c r="B314" s="65"/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</row>
    <row r="315" spans="1:28" x14ac:dyDescent="0.25">
      <c r="A315" s="65"/>
      <c r="B315" s="65"/>
      <c r="C315" s="65"/>
      <c r="D315" s="65"/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</row>
    <row r="316" spans="1:28" x14ac:dyDescent="0.25">
      <c r="A316" s="65"/>
      <c r="B316" s="65"/>
      <c r="C316" s="65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</row>
    <row r="317" spans="1:28" x14ac:dyDescent="0.25">
      <c r="A317" s="65"/>
      <c r="B317" s="65"/>
      <c r="C317" s="65"/>
      <c r="D317" s="65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</row>
    <row r="318" spans="1:28" x14ac:dyDescent="0.25">
      <c r="A318" s="65"/>
      <c r="B318" s="65"/>
      <c r="C318" s="65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</row>
    <row r="319" spans="1:28" x14ac:dyDescent="0.25">
      <c r="A319" s="65"/>
      <c r="B319" s="65"/>
      <c r="C319" s="65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</row>
    <row r="320" spans="1:28" x14ac:dyDescent="0.25">
      <c r="A320" s="65"/>
      <c r="B320" s="65"/>
      <c r="C320" s="65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</row>
    <row r="321" spans="1:28" x14ac:dyDescent="0.25">
      <c r="A321" s="65"/>
      <c r="B321" s="65"/>
      <c r="C321" s="65"/>
      <c r="D321" s="65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</row>
    <row r="322" spans="1:28" x14ac:dyDescent="0.25">
      <c r="A322" s="65"/>
      <c r="B322" s="65"/>
      <c r="C322" s="65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</row>
    <row r="323" spans="1:28" x14ac:dyDescent="0.25">
      <c r="A323" s="65"/>
      <c r="B323" s="65"/>
      <c r="C323" s="65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</row>
    <row r="324" spans="1:28" x14ac:dyDescent="0.25">
      <c r="A324" s="65"/>
      <c r="B324" s="65"/>
      <c r="C324" s="65"/>
      <c r="D324" s="65"/>
      <c r="E324" s="65"/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</row>
    <row r="325" spans="1:28" x14ac:dyDescent="0.25">
      <c r="A325" s="65"/>
      <c r="B325" s="65"/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</row>
    <row r="326" spans="1:28" x14ac:dyDescent="0.25">
      <c r="A326" s="65"/>
      <c r="B326" s="65"/>
      <c r="C326" s="65"/>
      <c r="D326" s="65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</row>
    <row r="327" spans="1:28" x14ac:dyDescent="0.25">
      <c r="A327" s="65"/>
      <c r="B327" s="65"/>
      <c r="C327" s="65"/>
      <c r="D327" s="65"/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</row>
    <row r="328" spans="1:28" x14ac:dyDescent="0.25">
      <c r="A328" s="65"/>
      <c r="B328" s="65"/>
      <c r="C328" s="65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</row>
    <row r="329" spans="1:28" x14ac:dyDescent="0.25">
      <c r="A329" s="65"/>
      <c r="B329" s="65"/>
      <c r="C329" s="65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</row>
    <row r="330" spans="1:28" x14ac:dyDescent="0.25">
      <c r="A330" s="65"/>
      <c r="B330" s="65"/>
      <c r="C330" s="65"/>
      <c r="D330" s="65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</row>
    <row r="331" spans="1:28" x14ac:dyDescent="0.25">
      <c r="A331" s="65"/>
      <c r="B331" s="65"/>
      <c r="C331" s="65"/>
      <c r="D331" s="65"/>
      <c r="E331" s="65"/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</row>
    <row r="332" spans="1:28" x14ac:dyDescent="0.25">
      <c r="A332" s="65"/>
      <c r="B332" s="65"/>
      <c r="C332" s="65"/>
      <c r="D332" s="65"/>
      <c r="E332" s="65"/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</row>
    <row r="333" spans="1:28" x14ac:dyDescent="0.25">
      <c r="A333" s="65"/>
      <c r="B333" s="65"/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</row>
    <row r="334" spans="1:28" x14ac:dyDescent="0.25">
      <c r="A334" s="65"/>
      <c r="B334" s="65"/>
      <c r="C334" s="65"/>
      <c r="D334" s="65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</row>
    <row r="335" spans="1:28" x14ac:dyDescent="0.25">
      <c r="A335" s="65"/>
      <c r="B335" s="65"/>
      <c r="C335" s="65"/>
      <c r="D335" s="65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</row>
    <row r="336" spans="1:28" x14ac:dyDescent="0.25">
      <c r="A336" s="65"/>
      <c r="B336" s="65"/>
      <c r="C336" s="65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</row>
    <row r="337" spans="1:28" x14ac:dyDescent="0.25">
      <c r="A337" s="65"/>
      <c r="B337" s="65"/>
      <c r="C337" s="65"/>
      <c r="D337" s="65"/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</row>
    <row r="338" spans="1:28" x14ac:dyDescent="0.25">
      <c r="A338" s="65"/>
      <c r="B338" s="65"/>
      <c r="C338" s="65"/>
      <c r="D338" s="65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</row>
    <row r="339" spans="1:28" x14ac:dyDescent="0.25">
      <c r="A339" s="65"/>
      <c r="B339" s="65"/>
      <c r="C339" s="65"/>
      <c r="D339" s="65"/>
      <c r="E339" s="65"/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</row>
    <row r="340" spans="1:28" x14ac:dyDescent="0.25">
      <c r="A340" s="65"/>
      <c r="B340" s="65"/>
      <c r="C340" s="65"/>
      <c r="D340" s="65"/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</row>
    <row r="341" spans="1:28" x14ac:dyDescent="0.25">
      <c r="A341" s="65"/>
      <c r="B341" s="65"/>
      <c r="C341" s="65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</row>
    <row r="342" spans="1:28" x14ac:dyDescent="0.25">
      <c r="A342" s="65"/>
      <c r="B342" s="65"/>
      <c r="C342" s="65"/>
      <c r="D342" s="65"/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</row>
    <row r="343" spans="1:28" x14ac:dyDescent="0.25">
      <c r="A343" s="65"/>
      <c r="B343" s="65"/>
      <c r="C343" s="65"/>
      <c r="D343" s="65"/>
      <c r="E343" s="65"/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</row>
    <row r="344" spans="1:28" x14ac:dyDescent="0.25">
      <c r="A344" s="65"/>
      <c r="B344" s="65"/>
      <c r="C344" s="65"/>
      <c r="D344" s="65"/>
      <c r="E344" s="65"/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</row>
    <row r="345" spans="1:28" x14ac:dyDescent="0.25">
      <c r="A345" s="65"/>
      <c r="B345" s="65"/>
      <c r="C345" s="65"/>
      <c r="D345" s="65"/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</row>
    <row r="346" spans="1:28" x14ac:dyDescent="0.25">
      <c r="A346" s="65"/>
      <c r="B346" s="65"/>
      <c r="C346" s="65"/>
      <c r="D346" s="65"/>
      <c r="E346" s="65"/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</row>
    <row r="347" spans="1:28" x14ac:dyDescent="0.25">
      <c r="A347" s="65"/>
      <c r="B347" s="65"/>
      <c r="C347" s="65"/>
      <c r="D347" s="65"/>
      <c r="E347" s="65"/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</row>
    <row r="348" spans="1:28" x14ac:dyDescent="0.25">
      <c r="A348" s="65"/>
      <c r="B348" s="65"/>
      <c r="C348" s="65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</row>
    <row r="349" spans="1:28" x14ac:dyDescent="0.25">
      <c r="A349" s="65"/>
      <c r="B349" s="65"/>
      <c r="C349" s="65"/>
      <c r="D349" s="65"/>
      <c r="E349" s="65"/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</row>
    <row r="350" spans="1:28" x14ac:dyDescent="0.25">
      <c r="A350" s="65"/>
      <c r="B350" s="65"/>
      <c r="C350" s="65"/>
      <c r="D350" s="65"/>
      <c r="E350" s="65"/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A350" s="65"/>
      <c r="AB350" s="65"/>
    </row>
    <row r="351" spans="1:28" x14ac:dyDescent="0.25">
      <c r="A351" s="65"/>
      <c r="B351" s="65"/>
      <c r="C351" s="65"/>
      <c r="D351" s="65"/>
      <c r="E351" s="65"/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</row>
    <row r="352" spans="1:28" x14ac:dyDescent="0.25">
      <c r="A352" s="65"/>
      <c r="B352" s="65"/>
      <c r="C352" s="65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</row>
    <row r="353" spans="1:28" x14ac:dyDescent="0.25">
      <c r="A353" s="65"/>
      <c r="B353" s="65"/>
      <c r="C353" s="65"/>
      <c r="D353" s="65"/>
      <c r="E353" s="65"/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</row>
    <row r="354" spans="1:28" x14ac:dyDescent="0.25">
      <c r="A354" s="65"/>
      <c r="B354" s="65"/>
      <c r="C354" s="65"/>
      <c r="D354" s="65"/>
      <c r="E354" s="65"/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</row>
    <row r="355" spans="1:28" x14ac:dyDescent="0.25">
      <c r="A355" s="65"/>
      <c r="B355" s="65"/>
      <c r="C355" s="65"/>
      <c r="D355" s="65"/>
      <c r="E355" s="65"/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</row>
    <row r="356" spans="1:28" x14ac:dyDescent="0.25">
      <c r="A356" s="65"/>
      <c r="B356" s="65"/>
      <c r="C356" s="65"/>
      <c r="D356" s="65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</row>
    <row r="357" spans="1:28" x14ac:dyDescent="0.25">
      <c r="A357" s="65"/>
      <c r="B357" s="65"/>
      <c r="C357" s="65"/>
      <c r="D357" s="65"/>
      <c r="E357" s="65"/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</row>
    <row r="358" spans="1:28" x14ac:dyDescent="0.25">
      <c r="A358" s="65"/>
      <c r="B358" s="65"/>
      <c r="C358" s="65"/>
      <c r="D358" s="65"/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</row>
    <row r="359" spans="1:28" x14ac:dyDescent="0.25">
      <c r="A359" s="65"/>
      <c r="B359" s="65"/>
      <c r="C359" s="65"/>
      <c r="D359" s="65"/>
      <c r="E359" s="65"/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</row>
  </sheetData>
  <mergeCells count="32">
    <mergeCell ref="A15:T15"/>
    <mergeCell ref="A10:T10"/>
    <mergeCell ref="A11:T11"/>
    <mergeCell ref="A12:T12"/>
    <mergeCell ref="A13:T13"/>
    <mergeCell ref="A14:T14"/>
    <mergeCell ref="L19:L20"/>
    <mergeCell ref="E19:E20"/>
    <mergeCell ref="F19:F20"/>
    <mergeCell ref="I19:I20"/>
    <mergeCell ref="J19:J20"/>
    <mergeCell ref="A4:T4"/>
    <mergeCell ref="A6:T6"/>
    <mergeCell ref="A7:T7"/>
    <mergeCell ref="A8:T8"/>
    <mergeCell ref="A9:T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8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9" zoomScale="85" zoomScaleNormal="60" zoomScaleSheetLayoutView="85" workbookViewId="0">
      <selection activeCell="D34" sqref="D34"/>
    </sheetView>
  </sheetViews>
  <sheetFormatPr defaultColWidth="10.7109375" defaultRowHeight="15.75" x14ac:dyDescent="0.25"/>
  <cols>
    <col min="1" max="1" width="9.5703125" style="54" customWidth="1"/>
    <col min="2" max="2" width="8.7109375" style="54" customWidth="1"/>
    <col min="3" max="3" width="41.28515625" style="54" customWidth="1"/>
    <col min="4" max="4" width="16.140625" style="54" customWidth="1"/>
    <col min="5" max="5" width="11.140625" style="54" customWidth="1"/>
    <col min="6" max="6" width="11" style="54" customWidth="1"/>
    <col min="7" max="7" width="8.7109375" style="54" customWidth="1"/>
    <col min="8" max="8" width="11.28515625" style="54" customWidth="1"/>
    <col min="9" max="9" width="7.28515625" style="54" customWidth="1"/>
    <col min="10" max="10" width="9.28515625" style="54" customWidth="1"/>
    <col min="11" max="11" width="10.28515625" style="54" customWidth="1"/>
    <col min="12" max="15" width="8.7109375" style="54" customWidth="1"/>
    <col min="16" max="16" width="19.42578125" style="54" customWidth="1"/>
    <col min="17" max="17" width="21.7109375" style="54" customWidth="1"/>
    <col min="18" max="18" width="22" style="54" customWidth="1"/>
    <col min="19" max="19" width="19.7109375" style="54" customWidth="1"/>
    <col min="20" max="20" width="18.42578125" style="54" customWidth="1"/>
    <col min="21" max="237" width="10.7109375" style="54"/>
    <col min="238" max="242" width="15.7109375" style="54" customWidth="1"/>
    <col min="243" max="246" width="12.7109375" style="54" customWidth="1"/>
    <col min="247" max="250" width="15.7109375" style="54" customWidth="1"/>
    <col min="251" max="251" width="22.85546875" style="54" customWidth="1"/>
    <col min="252" max="252" width="20.7109375" style="54" customWidth="1"/>
    <col min="253" max="253" width="16.7109375" style="54" customWidth="1"/>
    <col min="254" max="16384" width="10.7109375" style="54"/>
  </cols>
  <sheetData>
    <row r="1" spans="1:20" ht="3" customHeight="1" x14ac:dyDescent="0.25"/>
    <row r="2" spans="1:20" ht="15" customHeight="1" x14ac:dyDescent="0.25">
      <c r="T2" s="34" t="s">
        <v>58</v>
      </c>
    </row>
    <row r="3" spans="1:20" s="2" customFormat="1" ht="18.75" customHeight="1" x14ac:dyDescent="0.3">
      <c r="A3" s="33"/>
      <c r="T3" s="35" t="s">
        <v>7</v>
      </c>
    </row>
    <row r="4" spans="1:20" s="2" customFormat="1" ht="18.75" customHeight="1" x14ac:dyDescent="0.3">
      <c r="A4" s="33"/>
      <c r="T4" s="35" t="s">
        <v>57</v>
      </c>
    </row>
    <row r="5" spans="1:20" s="2" customFormat="1" ht="18.75" customHeight="1" x14ac:dyDescent="0.3">
      <c r="A5" s="33"/>
      <c r="T5" s="35"/>
    </row>
    <row r="6" spans="1:20" s="2" customFormat="1" x14ac:dyDescent="0.2">
      <c r="A6" s="224" t="str">
        <f>'1. паспорт местоположение'!$A$5</f>
        <v>Год раскрытия информации: 2019 год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</row>
    <row r="7" spans="1:20" s="2" customFormat="1" x14ac:dyDescent="0.2">
      <c r="A7" s="36"/>
    </row>
    <row r="8" spans="1:20" s="2" customFormat="1" ht="18.75" x14ac:dyDescent="0.2">
      <c r="A8" s="228" t="s">
        <v>6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</row>
    <row r="9" spans="1:20" s="2" customFormat="1" ht="18.75" x14ac:dyDescent="0.2">
      <c r="A9" s="228"/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</row>
    <row r="10" spans="1:20" s="2" customFormat="1" ht="18.75" customHeight="1" x14ac:dyDescent="0.2">
      <c r="A10" s="229" t="s">
        <v>334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</row>
    <row r="11" spans="1:20" s="2" customFormat="1" ht="18.75" customHeight="1" x14ac:dyDescent="0.2">
      <c r="A11" s="230" t="s">
        <v>5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s="2" customFormat="1" ht="18.75" x14ac:dyDescent="0.2">
      <c r="A12" s="228"/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</row>
    <row r="13" spans="1:20" s="2" customFormat="1" ht="18.75" customHeight="1" x14ac:dyDescent="0.2">
      <c r="A13" s="229" t="s">
        <v>471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</row>
    <row r="14" spans="1:20" s="2" customFormat="1" ht="18.75" customHeight="1" x14ac:dyDescent="0.2">
      <c r="A14" s="230" t="s">
        <v>4</v>
      </c>
      <c r="B14" s="230"/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s="50" customFormat="1" ht="15.75" customHeight="1" x14ac:dyDescent="0.2">
      <c r="A15" s="239"/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39"/>
    </row>
    <row r="16" spans="1:20" s="51" customFormat="1" ht="52.5" customHeight="1" x14ac:dyDescent="0.2">
      <c r="A16" s="231" t="str">
        <f>'1. паспорт местоположение'!A15:C15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</row>
    <row r="17" spans="1:113" s="51" customFormat="1" ht="15" customHeight="1" x14ac:dyDescent="0.2">
      <c r="A17" s="230" t="s">
        <v>3</v>
      </c>
      <c r="B17" s="230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113" s="51" customFormat="1" ht="15" customHeight="1" x14ac:dyDescent="0.2">
      <c r="A18" s="232"/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</row>
    <row r="19" spans="1:113" s="51" customFormat="1" ht="15" customHeight="1" x14ac:dyDescent="0.2">
      <c r="A19" s="247" t="s">
        <v>355</v>
      </c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7"/>
      <c r="O19" s="247"/>
      <c r="P19" s="247"/>
      <c r="Q19" s="247"/>
      <c r="R19" s="247"/>
      <c r="S19" s="247"/>
      <c r="T19" s="247"/>
    </row>
    <row r="20" spans="1:113" s="53" customFormat="1" ht="21" customHeight="1" x14ac:dyDescent="0.25">
      <c r="A20" s="243"/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</row>
    <row r="21" spans="1:113" ht="46.5" customHeight="1" x14ac:dyDescent="0.25">
      <c r="A21" s="244" t="s">
        <v>2</v>
      </c>
      <c r="B21" s="249" t="s">
        <v>356</v>
      </c>
      <c r="C21" s="250"/>
      <c r="D21" s="253" t="s">
        <v>357</v>
      </c>
      <c r="E21" s="249" t="s">
        <v>358</v>
      </c>
      <c r="F21" s="250"/>
      <c r="G21" s="249" t="s">
        <v>359</v>
      </c>
      <c r="H21" s="250"/>
      <c r="I21" s="249" t="s">
        <v>360</v>
      </c>
      <c r="J21" s="250"/>
      <c r="K21" s="253" t="s">
        <v>361</v>
      </c>
      <c r="L21" s="249" t="s">
        <v>362</v>
      </c>
      <c r="M21" s="250"/>
      <c r="N21" s="249" t="s">
        <v>384</v>
      </c>
      <c r="O21" s="250"/>
      <c r="P21" s="253" t="s">
        <v>363</v>
      </c>
      <c r="Q21" s="240" t="s">
        <v>364</v>
      </c>
      <c r="R21" s="241"/>
      <c r="S21" s="240" t="s">
        <v>365</v>
      </c>
      <c r="T21" s="242"/>
    </row>
    <row r="22" spans="1:113" ht="204.75" customHeight="1" x14ac:dyDescent="0.25">
      <c r="A22" s="245"/>
      <c r="B22" s="251"/>
      <c r="C22" s="252"/>
      <c r="D22" s="255"/>
      <c r="E22" s="251"/>
      <c r="F22" s="252"/>
      <c r="G22" s="251"/>
      <c r="H22" s="252"/>
      <c r="I22" s="251"/>
      <c r="J22" s="252"/>
      <c r="K22" s="254"/>
      <c r="L22" s="251"/>
      <c r="M22" s="252"/>
      <c r="N22" s="251"/>
      <c r="O22" s="252"/>
      <c r="P22" s="254"/>
      <c r="Q22" s="55" t="s">
        <v>366</v>
      </c>
      <c r="R22" s="55" t="s">
        <v>367</v>
      </c>
      <c r="S22" s="55" t="s">
        <v>368</v>
      </c>
      <c r="T22" s="55" t="s">
        <v>369</v>
      </c>
    </row>
    <row r="23" spans="1:113" ht="51.75" customHeight="1" x14ac:dyDescent="0.25">
      <c r="A23" s="246"/>
      <c r="B23" s="55" t="s">
        <v>370</v>
      </c>
      <c r="C23" s="55" t="e">
        <v>#N/A</v>
      </c>
      <c r="D23" s="254"/>
      <c r="E23" s="55" t="s">
        <v>370</v>
      </c>
      <c r="F23" s="55" t="s">
        <v>371</v>
      </c>
      <c r="G23" s="55" t="s">
        <v>370</v>
      </c>
      <c r="H23" s="55" t="s">
        <v>371</v>
      </c>
      <c r="I23" s="55" t="s">
        <v>370</v>
      </c>
      <c r="J23" s="55" t="s">
        <v>371</v>
      </c>
      <c r="K23" s="55" t="s">
        <v>370</v>
      </c>
      <c r="L23" s="55" t="s">
        <v>370</v>
      </c>
      <c r="M23" s="55" t="s">
        <v>371</v>
      </c>
      <c r="N23" s="55" t="s">
        <v>370</v>
      </c>
      <c r="O23" s="55" t="s">
        <v>371</v>
      </c>
      <c r="P23" s="81" t="s">
        <v>370</v>
      </c>
      <c r="Q23" s="55" t="s">
        <v>370</v>
      </c>
      <c r="R23" s="55" t="s">
        <v>370</v>
      </c>
      <c r="S23" s="55" t="s">
        <v>370</v>
      </c>
      <c r="T23" s="55" t="s">
        <v>370</v>
      </c>
    </row>
    <row r="24" spans="1:113" x14ac:dyDescent="0.25">
      <c r="A24" s="56">
        <v>1</v>
      </c>
      <c r="B24" s="56">
        <v>2</v>
      </c>
      <c r="C24" s="56">
        <v>3</v>
      </c>
      <c r="D24" s="56">
        <v>4</v>
      </c>
      <c r="E24" s="56">
        <v>5</v>
      </c>
      <c r="F24" s="56">
        <v>6</v>
      </c>
      <c r="G24" s="56">
        <v>7</v>
      </c>
      <c r="H24" s="56">
        <v>8</v>
      </c>
      <c r="I24" s="56">
        <v>9</v>
      </c>
      <c r="J24" s="56">
        <v>10</v>
      </c>
      <c r="K24" s="56">
        <v>11</v>
      </c>
      <c r="L24" s="56">
        <v>12</v>
      </c>
      <c r="M24" s="56">
        <v>13</v>
      </c>
      <c r="N24" s="56">
        <v>14</v>
      </c>
      <c r="O24" s="56">
        <v>15</v>
      </c>
      <c r="P24" s="56">
        <v>16</v>
      </c>
      <c r="Q24" s="56">
        <v>17</v>
      </c>
      <c r="R24" s="56">
        <v>18</v>
      </c>
      <c r="S24" s="56">
        <v>19</v>
      </c>
      <c r="T24" s="56">
        <v>20</v>
      </c>
    </row>
    <row r="25" spans="1:113" s="53" customFormat="1" ht="54" customHeight="1" x14ac:dyDescent="0.25">
      <c r="A25" s="57">
        <v>1</v>
      </c>
      <c r="B25" s="58" t="s">
        <v>326</v>
      </c>
      <c r="C25" s="58" t="s">
        <v>326</v>
      </c>
      <c r="D25" s="58" t="s">
        <v>326</v>
      </c>
      <c r="E25" s="58" t="s">
        <v>326</v>
      </c>
      <c r="F25" s="58" t="s">
        <v>326</v>
      </c>
      <c r="G25" s="58" t="s">
        <v>326</v>
      </c>
      <c r="H25" s="58" t="s">
        <v>326</v>
      </c>
      <c r="I25" s="58" t="s">
        <v>326</v>
      </c>
      <c r="J25" s="58" t="s">
        <v>326</v>
      </c>
      <c r="K25" s="58" t="s">
        <v>326</v>
      </c>
      <c r="L25" s="58" t="s">
        <v>326</v>
      </c>
      <c r="M25" s="58" t="s">
        <v>326</v>
      </c>
      <c r="N25" s="58" t="s">
        <v>326</v>
      </c>
      <c r="O25" s="58" t="s">
        <v>326</v>
      </c>
      <c r="P25" s="58" t="s">
        <v>326</v>
      </c>
      <c r="Q25" s="58" t="s">
        <v>326</v>
      </c>
      <c r="R25" s="58" t="s">
        <v>326</v>
      </c>
      <c r="S25" s="58" t="s">
        <v>326</v>
      </c>
      <c r="T25" s="58" t="s">
        <v>326</v>
      </c>
    </row>
    <row r="26" spans="1:113" ht="3" customHeight="1" x14ac:dyDescent="0.25"/>
    <row r="27" spans="1:113" s="174" customFormat="1" ht="12.75" x14ac:dyDescent="0.2">
      <c r="B27" s="173"/>
      <c r="C27" s="173"/>
      <c r="K27" s="173"/>
    </row>
    <row r="28" spans="1:113" s="174" customFormat="1" x14ac:dyDescent="0.25">
      <c r="B28" s="176" t="s">
        <v>372</v>
      </c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</row>
    <row r="29" spans="1:113" x14ac:dyDescent="0.25">
      <c r="B29" s="248" t="s">
        <v>373</v>
      </c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</row>
    <row r="30" spans="1:113" x14ac:dyDescent="0.25"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  <c r="BI30" s="176"/>
      <c r="BJ30" s="176"/>
      <c r="BK30" s="176"/>
      <c r="BL30" s="176"/>
      <c r="BM30" s="176"/>
      <c r="BN30" s="176"/>
      <c r="BO30" s="176"/>
      <c r="BP30" s="176"/>
      <c r="BQ30" s="176"/>
      <c r="BR30" s="176"/>
      <c r="BS30" s="176"/>
      <c r="BT30" s="176"/>
      <c r="BU30" s="176"/>
      <c r="BV30" s="176"/>
      <c r="BW30" s="176"/>
      <c r="BX30" s="176"/>
      <c r="BY30" s="176"/>
      <c r="BZ30" s="176"/>
      <c r="CA30" s="176"/>
      <c r="CB30" s="176"/>
      <c r="CC30" s="176"/>
      <c r="CD30" s="176"/>
      <c r="CE30" s="176"/>
      <c r="CF30" s="176"/>
      <c r="CG30" s="176"/>
      <c r="CH30" s="176"/>
      <c r="CI30" s="176"/>
      <c r="CJ30" s="176"/>
      <c r="CK30" s="176"/>
      <c r="CL30" s="176"/>
      <c r="CM30" s="176"/>
      <c r="CN30" s="176"/>
      <c r="CO30" s="176"/>
      <c r="CP30" s="176"/>
      <c r="CQ30" s="176"/>
      <c r="CR30" s="176"/>
      <c r="CS30" s="176"/>
      <c r="CT30" s="176"/>
      <c r="CU30" s="176"/>
      <c r="CV30" s="176"/>
      <c r="CW30" s="176"/>
      <c r="CX30" s="176"/>
      <c r="CY30" s="176"/>
      <c r="CZ30" s="176"/>
      <c r="DA30" s="176"/>
      <c r="DB30" s="176"/>
      <c r="DC30" s="176"/>
      <c r="DD30" s="176"/>
      <c r="DE30" s="176"/>
      <c r="DF30" s="176"/>
      <c r="DG30" s="176"/>
      <c r="DH30" s="176"/>
      <c r="DI30" s="176"/>
    </row>
    <row r="31" spans="1:113" x14ac:dyDescent="0.25">
      <c r="B31" s="177" t="s">
        <v>374</v>
      </c>
      <c r="C31" s="177"/>
      <c r="D31" s="177"/>
      <c r="E31" s="177"/>
      <c r="F31" s="178"/>
      <c r="G31" s="178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9"/>
      <c r="T31" s="179"/>
      <c r="U31" s="179"/>
      <c r="V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79"/>
      <c r="BO31" s="179"/>
      <c r="BP31" s="179"/>
      <c r="BQ31" s="179"/>
      <c r="BR31" s="179"/>
      <c r="BS31" s="179"/>
      <c r="BT31" s="179"/>
      <c r="BU31" s="179"/>
      <c r="BV31" s="179"/>
      <c r="BW31" s="179"/>
      <c r="BX31" s="179"/>
      <c r="BY31" s="179"/>
      <c r="BZ31" s="179"/>
      <c r="CA31" s="179"/>
      <c r="CB31" s="179"/>
      <c r="CC31" s="179"/>
      <c r="CD31" s="179"/>
      <c r="CE31" s="179"/>
      <c r="CF31" s="179"/>
      <c r="CG31" s="179"/>
      <c r="CH31" s="179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9"/>
      <c r="CU31" s="179"/>
      <c r="CV31" s="179"/>
      <c r="CW31" s="179"/>
      <c r="CX31" s="179"/>
      <c r="CY31" s="179"/>
      <c r="CZ31" s="179"/>
      <c r="DA31" s="179"/>
      <c r="DB31" s="179"/>
      <c r="DC31" s="179"/>
      <c r="DD31" s="179"/>
      <c r="DE31" s="179"/>
      <c r="DF31" s="179"/>
      <c r="DG31" s="179"/>
      <c r="DH31" s="179"/>
      <c r="DI31" s="179"/>
    </row>
    <row r="32" spans="1:113" x14ac:dyDescent="0.25">
      <c r="B32" s="177" t="s">
        <v>375</v>
      </c>
      <c r="C32" s="177"/>
      <c r="D32" s="177"/>
      <c r="E32" s="177"/>
      <c r="F32" s="178"/>
      <c r="G32" s="178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  <c r="BI32" s="176"/>
      <c r="BJ32" s="176"/>
      <c r="BK32" s="176"/>
      <c r="BL32" s="176"/>
      <c r="BM32" s="176"/>
      <c r="BN32" s="176"/>
      <c r="BO32" s="176"/>
      <c r="BP32" s="176"/>
      <c r="BQ32" s="176"/>
      <c r="BR32" s="176"/>
      <c r="BS32" s="176"/>
      <c r="BT32" s="176"/>
      <c r="BU32" s="176"/>
      <c r="BV32" s="176"/>
      <c r="BW32" s="176"/>
      <c r="BX32" s="176"/>
      <c r="BY32" s="176"/>
      <c r="BZ32" s="176"/>
      <c r="CA32" s="176"/>
      <c r="CB32" s="176"/>
      <c r="CC32" s="176"/>
      <c r="CD32" s="176"/>
      <c r="CE32" s="176"/>
      <c r="CF32" s="176"/>
      <c r="CG32" s="176"/>
      <c r="CH32" s="176"/>
      <c r="CI32" s="176"/>
      <c r="CJ32" s="176"/>
      <c r="CK32" s="176"/>
      <c r="CL32" s="176"/>
      <c r="CM32" s="176"/>
      <c r="CN32" s="176"/>
      <c r="CO32" s="176"/>
      <c r="CP32" s="176"/>
      <c r="CQ32" s="176"/>
      <c r="CR32" s="176"/>
      <c r="CS32" s="176"/>
      <c r="CT32" s="176"/>
      <c r="CU32" s="176"/>
      <c r="CV32" s="176"/>
      <c r="CW32" s="176"/>
      <c r="CX32" s="176"/>
      <c r="CY32" s="176"/>
      <c r="CZ32" s="176"/>
      <c r="DA32" s="176"/>
      <c r="DB32" s="176"/>
      <c r="DC32" s="176"/>
      <c r="DD32" s="176"/>
      <c r="DE32" s="176"/>
      <c r="DF32" s="176"/>
      <c r="DG32" s="176"/>
      <c r="DH32" s="176"/>
      <c r="DI32" s="176"/>
    </row>
    <row r="33" spans="2:113" s="178" customFormat="1" x14ac:dyDescent="0.25">
      <c r="B33" s="177" t="s">
        <v>376</v>
      </c>
      <c r="C33" s="177"/>
      <c r="D33" s="177"/>
      <c r="E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80"/>
      <c r="BL33" s="180"/>
      <c r="BM33" s="180"/>
      <c r="BN33" s="180"/>
      <c r="BO33" s="180"/>
      <c r="BP33" s="180"/>
      <c r="BQ33" s="180"/>
      <c r="BR33" s="180"/>
      <c r="BS33" s="180"/>
      <c r="BT33" s="180"/>
      <c r="BU33" s="180"/>
      <c r="BV33" s="180"/>
      <c r="BW33" s="180"/>
      <c r="BX33" s="180"/>
      <c r="BY33" s="180"/>
      <c r="BZ33" s="180"/>
      <c r="CA33" s="180"/>
      <c r="CB33" s="180"/>
      <c r="CC33" s="180"/>
      <c r="CD33" s="180"/>
      <c r="CE33" s="180"/>
      <c r="CF33" s="180"/>
      <c r="CG33" s="180"/>
      <c r="CH33" s="180"/>
      <c r="CI33" s="180"/>
      <c r="CJ33" s="180"/>
      <c r="CK33" s="180"/>
      <c r="CL33" s="180"/>
      <c r="CM33" s="180"/>
      <c r="CN33" s="180"/>
      <c r="CO33" s="180"/>
      <c r="CP33" s="180"/>
      <c r="CQ33" s="180"/>
      <c r="CR33" s="180"/>
      <c r="CS33" s="180"/>
      <c r="CT33" s="180"/>
      <c r="CU33" s="180"/>
      <c r="CV33" s="180"/>
      <c r="CW33" s="180"/>
      <c r="CX33" s="180"/>
      <c r="CY33" s="180"/>
      <c r="CZ33" s="180"/>
      <c r="DA33" s="180"/>
      <c r="DB33" s="180"/>
      <c r="DC33" s="180"/>
      <c r="DD33" s="180"/>
      <c r="DE33" s="180"/>
      <c r="DF33" s="180"/>
      <c r="DG33" s="180"/>
      <c r="DH33" s="180"/>
      <c r="DI33" s="180"/>
    </row>
    <row r="34" spans="2:113" s="178" customFormat="1" x14ac:dyDescent="0.25">
      <c r="B34" s="177" t="s">
        <v>377</v>
      </c>
      <c r="C34" s="177"/>
      <c r="D34" s="177"/>
      <c r="E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80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0"/>
      <c r="BW34" s="180"/>
      <c r="BX34" s="180"/>
      <c r="BY34" s="180"/>
      <c r="BZ34" s="180"/>
      <c r="CA34" s="180"/>
      <c r="CB34" s="180"/>
      <c r="CC34" s="180"/>
      <c r="CD34" s="180"/>
      <c r="CE34" s="180"/>
      <c r="CF34" s="180"/>
      <c r="CG34" s="180"/>
      <c r="CH34" s="180"/>
      <c r="CI34" s="180"/>
      <c r="CJ34" s="180"/>
      <c r="CK34" s="180"/>
      <c r="CL34" s="180"/>
      <c r="CM34" s="180"/>
      <c r="CN34" s="180"/>
      <c r="CO34" s="180"/>
      <c r="CP34" s="180"/>
      <c r="CQ34" s="180"/>
      <c r="CR34" s="180"/>
      <c r="CS34" s="180"/>
      <c r="CT34" s="180"/>
      <c r="CU34" s="180"/>
      <c r="CV34" s="180"/>
      <c r="CW34" s="180"/>
      <c r="CX34" s="180"/>
      <c r="CY34" s="180"/>
      <c r="CZ34" s="180"/>
      <c r="DA34" s="180"/>
      <c r="DB34" s="180"/>
      <c r="DC34" s="180"/>
      <c r="DD34" s="180"/>
      <c r="DE34" s="180"/>
      <c r="DF34" s="180"/>
      <c r="DG34" s="180"/>
      <c r="DH34" s="180"/>
      <c r="DI34" s="180"/>
    </row>
    <row r="35" spans="2:113" s="178" customFormat="1" x14ac:dyDescent="0.25">
      <c r="B35" s="177" t="s">
        <v>378</v>
      </c>
      <c r="C35" s="177"/>
      <c r="D35" s="177"/>
      <c r="E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80"/>
      <c r="BL35" s="180"/>
      <c r="BM35" s="180"/>
      <c r="BN35" s="180"/>
      <c r="BO35" s="180"/>
      <c r="BP35" s="180"/>
      <c r="BQ35" s="180"/>
      <c r="BR35" s="180"/>
      <c r="BS35" s="180"/>
      <c r="BT35" s="180"/>
      <c r="BU35" s="180"/>
      <c r="BV35" s="180"/>
      <c r="BW35" s="180"/>
      <c r="BX35" s="180"/>
      <c r="BY35" s="180"/>
      <c r="BZ35" s="180"/>
      <c r="CA35" s="180"/>
      <c r="CB35" s="180"/>
      <c r="CC35" s="180"/>
      <c r="CD35" s="180"/>
      <c r="CE35" s="180"/>
      <c r="CF35" s="180"/>
      <c r="CG35" s="180"/>
      <c r="CH35" s="180"/>
      <c r="CI35" s="180"/>
      <c r="CJ35" s="180"/>
      <c r="CK35" s="180"/>
      <c r="CL35" s="180"/>
      <c r="CM35" s="180"/>
      <c r="CN35" s="180"/>
      <c r="CO35" s="180"/>
      <c r="CP35" s="180"/>
      <c r="CQ35" s="180"/>
      <c r="CR35" s="180"/>
      <c r="CS35" s="180"/>
      <c r="CT35" s="180"/>
      <c r="CU35" s="180"/>
      <c r="CV35" s="180"/>
      <c r="CW35" s="180"/>
      <c r="CX35" s="180"/>
      <c r="CY35" s="180"/>
      <c r="CZ35" s="180"/>
      <c r="DA35" s="180"/>
      <c r="DB35" s="180"/>
      <c r="DC35" s="180"/>
      <c r="DD35" s="180"/>
      <c r="DE35" s="180"/>
      <c r="DF35" s="180"/>
      <c r="DG35" s="180"/>
      <c r="DH35" s="180"/>
      <c r="DI35" s="180"/>
    </row>
    <row r="36" spans="2:113" s="178" customFormat="1" x14ac:dyDescent="0.25">
      <c r="B36" s="177" t="s">
        <v>379</v>
      </c>
      <c r="C36" s="177"/>
      <c r="D36" s="177"/>
      <c r="E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  <c r="BI36" s="177"/>
      <c r="BJ36" s="177"/>
      <c r="BK36" s="180"/>
      <c r="BL36" s="180"/>
      <c r="BM36" s="180"/>
      <c r="BN36" s="180"/>
      <c r="BO36" s="180"/>
      <c r="BP36" s="180"/>
      <c r="BQ36" s="180"/>
      <c r="BR36" s="180"/>
      <c r="BS36" s="180"/>
      <c r="BT36" s="180"/>
      <c r="BU36" s="180"/>
      <c r="BV36" s="180"/>
      <c r="BW36" s="180"/>
      <c r="BX36" s="180"/>
      <c r="BY36" s="180"/>
      <c r="BZ36" s="180"/>
      <c r="CA36" s="180"/>
      <c r="CB36" s="180"/>
      <c r="CC36" s="180"/>
      <c r="CD36" s="180"/>
      <c r="CE36" s="180"/>
      <c r="CF36" s="180"/>
      <c r="CG36" s="180"/>
      <c r="CH36" s="180"/>
      <c r="CI36" s="180"/>
      <c r="CJ36" s="180"/>
      <c r="CK36" s="180"/>
      <c r="CL36" s="180"/>
      <c r="CM36" s="180"/>
      <c r="CN36" s="180"/>
      <c r="CO36" s="180"/>
      <c r="CP36" s="180"/>
      <c r="CQ36" s="180"/>
      <c r="CR36" s="180"/>
      <c r="CS36" s="180"/>
      <c r="CT36" s="180"/>
      <c r="CU36" s="180"/>
      <c r="CV36" s="180"/>
      <c r="CW36" s="180"/>
      <c r="CX36" s="180"/>
      <c r="CY36" s="180"/>
      <c r="CZ36" s="180"/>
      <c r="DA36" s="180"/>
      <c r="DB36" s="180"/>
      <c r="DC36" s="180"/>
      <c r="DD36" s="180"/>
      <c r="DE36" s="180"/>
      <c r="DF36" s="180"/>
      <c r="DG36" s="180"/>
      <c r="DH36" s="180"/>
      <c r="DI36" s="180"/>
    </row>
    <row r="37" spans="2:113" s="178" customFormat="1" x14ac:dyDescent="0.25">
      <c r="B37" s="177" t="s">
        <v>380</v>
      </c>
      <c r="C37" s="177"/>
      <c r="D37" s="177"/>
      <c r="E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7"/>
      <c r="BK37" s="180"/>
      <c r="BL37" s="180"/>
      <c r="BM37" s="180"/>
      <c r="BN37" s="180"/>
      <c r="BO37" s="180"/>
      <c r="BP37" s="180"/>
      <c r="BQ37" s="180"/>
      <c r="BR37" s="180"/>
      <c r="BS37" s="180"/>
      <c r="BT37" s="180"/>
      <c r="BU37" s="180"/>
      <c r="BV37" s="180"/>
      <c r="BW37" s="180"/>
      <c r="BX37" s="180"/>
      <c r="BY37" s="180"/>
      <c r="BZ37" s="180"/>
      <c r="CA37" s="180"/>
      <c r="CB37" s="180"/>
      <c r="CC37" s="180"/>
      <c r="CD37" s="180"/>
      <c r="CE37" s="180"/>
      <c r="CF37" s="180"/>
      <c r="CG37" s="180"/>
      <c r="CH37" s="180"/>
      <c r="CI37" s="180"/>
      <c r="CJ37" s="180"/>
      <c r="CK37" s="180"/>
      <c r="CL37" s="180"/>
      <c r="CM37" s="180"/>
      <c r="CN37" s="180"/>
      <c r="CO37" s="180"/>
      <c r="CP37" s="180"/>
      <c r="CQ37" s="180"/>
      <c r="CR37" s="180"/>
      <c r="CS37" s="180"/>
      <c r="CT37" s="180"/>
      <c r="CU37" s="180"/>
      <c r="CV37" s="180"/>
      <c r="CW37" s="180"/>
      <c r="CX37" s="180"/>
      <c r="CY37" s="180"/>
      <c r="CZ37" s="180"/>
      <c r="DA37" s="180"/>
      <c r="DB37" s="180"/>
      <c r="DC37" s="180"/>
      <c r="DD37" s="180"/>
      <c r="DE37" s="180"/>
      <c r="DF37" s="180"/>
      <c r="DG37" s="180"/>
      <c r="DH37" s="180"/>
      <c r="DI37" s="180"/>
    </row>
    <row r="38" spans="2:113" s="178" customFormat="1" x14ac:dyDescent="0.25">
      <c r="B38" s="177" t="s">
        <v>381</v>
      </c>
      <c r="C38" s="177"/>
      <c r="D38" s="177"/>
      <c r="E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7"/>
      <c r="BK38" s="180"/>
      <c r="BL38" s="180"/>
      <c r="BM38" s="180"/>
      <c r="BN38" s="180"/>
      <c r="BO38" s="180"/>
      <c r="BP38" s="180"/>
      <c r="BQ38" s="180"/>
      <c r="BR38" s="180"/>
      <c r="BS38" s="180"/>
      <c r="BT38" s="180"/>
      <c r="BU38" s="180"/>
      <c r="BV38" s="180"/>
      <c r="BW38" s="180"/>
      <c r="BX38" s="180"/>
      <c r="BY38" s="180"/>
      <c r="BZ38" s="180"/>
      <c r="CA38" s="180"/>
      <c r="CB38" s="180"/>
      <c r="CC38" s="180"/>
      <c r="CD38" s="180"/>
      <c r="CE38" s="180"/>
      <c r="CF38" s="180"/>
      <c r="CG38" s="180"/>
      <c r="CH38" s="180"/>
      <c r="CI38" s="180"/>
      <c r="CJ38" s="180"/>
      <c r="CK38" s="180"/>
      <c r="CL38" s="180"/>
      <c r="CM38" s="180"/>
      <c r="CN38" s="180"/>
      <c r="CO38" s="180"/>
      <c r="CP38" s="180"/>
      <c r="CQ38" s="180"/>
      <c r="CR38" s="180"/>
      <c r="CS38" s="180"/>
      <c r="CT38" s="180"/>
      <c r="CU38" s="180"/>
      <c r="CV38" s="180"/>
      <c r="CW38" s="180"/>
      <c r="CX38" s="180"/>
      <c r="CY38" s="180"/>
      <c r="CZ38" s="180"/>
      <c r="DA38" s="180"/>
      <c r="DB38" s="180"/>
      <c r="DC38" s="180"/>
      <c r="DD38" s="180"/>
      <c r="DE38" s="180"/>
      <c r="DF38" s="180"/>
      <c r="DG38" s="180"/>
      <c r="DH38" s="180"/>
      <c r="DI38" s="180"/>
    </row>
    <row r="39" spans="2:113" s="178" customFormat="1" x14ac:dyDescent="0.25">
      <c r="B39" s="177" t="s">
        <v>382</v>
      </c>
      <c r="C39" s="177"/>
      <c r="D39" s="177"/>
      <c r="E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  <c r="BJ39" s="177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  <c r="BZ39" s="180"/>
      <c r="CA39" s="180"/>
      <c r="CB39" s="180"/>
      <c r="CC39" s="180"/>
      <c r="CD39" s="180"/>
      <c r="CE39" s="180"/>
      <c r="CF39" s="180"/>
      <c r="CG39" s="180"/>
      <c r="CH39" s="180"/>
      <c r="CI39" s="180"/>
      <c r="CJ39" s="180"/>
      <c r="CK39" s="180"/>
      <c r="CL39" s="180"/>
      <c r="CM39" s="180"/>
      <c r="CN39" s="180"/>
      <c r="CO39" s="180"/>
      <c r="CP39" s="180"/>
      <c r="CQ39" s="180"/>
      <c r="CR39" s="180"/>
      <c r="CS39" s="180"/>
      <c r="CT39" s="180"/>
      <c r="CU39" s="180"/>
      <c r="CV39" s="180"/>
      <c r="CW39" s="180"/>
      <c r="CX39" s="180"/>
      <c r="CY39" s="180"/>
      <c r="CZ39" s="180"/>
      <c r="DA39" s="180"/>
      <c r="DB39" s="180"/>
      <c r="DC39" s="180"/>
      <c r="DD39" s="180"/>
      <c r="DE39" s="180"/>
      <c r="DF39" s="180"/>
      <c r="DG39" s="180"/>
      <c r="DH39" s="180"/>
      <c r="DI39" s="180"/>
    </row>
    <row r="40" spans="2:113" s="178" customFormat="1" x14ac:dyDescent="0.25">
      <c r="B40" s="177" t="s">
        <v>383</v>
      </c>
      <c r="C40" s="177"/>
      <c r="D40" s="177"/>
      <c r="E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  <c r="BI40" s="177"/>
      <c r="BJ40" s="177"/>
      <c r="BK40" s="180"/>
      <c r="BL40" s="180"/>
      <c r="BM40" s="180"/>
      <c r="BN40" s="180"/>
      <c r="BO40" s="180"/>
      <c r="BP40" s="180"/>
      <c r="BQ40" s="180"/>
      <c r="BR40" s="180"/>
      <c r="BS40" s="180"/>
      <c r="BT40" s="180"/>
      <c r="BU40" s="180"/>
      <c r="BV40" s="180"/>
      <c r="BW40" s="180"/>
      <c r="BX40" s="180"/>
      <c r="BY40" s="180"/>
      <c r="BZ40" s="180"/>
      <c r="CA40" s="180"/>
      <c r="CB40" s="180"/>
      <c r="CC40" s="180"/>
      <c r="CD40" s="180"/>
      <c r="CE40" s="180"/>
      <c r="CF40" s="180"/>
      <c r="CG40" s="180"/>
      <c r="CH40" s="180"/>
      <c r="CI40" s="180"/>
      <c r="CJ40" s="180"/>
      <c r="CK40" s="180"/>
      <c r="CL40" s="180"/>
      <c r="CM40" s="180"/>
      <c r="CN40" s="180"/>
      <c r="CO40" s="180"/>
      <c r="CP40" s="180"/>
      <c r="CQ40" s="180"/>
      <c r="CR40" s="180"/>
      <c r="CS40" s="180"/>
      <c r="CT40" s="180"/>
      <c r="CU40" s="180"/>
      <c r="CV40" s="180"/>
      <c r="CW40" s="180"/>
      <c r="CX40" s="180"/>
      <c r="CY40" s="180"/>
      <c r="CZ40" s="180"/>
      <c r="DA40" s="180"/>
      <c r="DB40" s="180"/>
      <c r="DC40" s="180"/>
      <c r="DD40" s="180"/>
      <c r="DE40" s="180"/>
      <c r="DF40" s="180"/>
      <c r="DG40" s="180"/>
      <c r="DH40" s="180"/>
      <c r="DI40" s="180"/>
    </row>
    <row r="41" spans="2:113" s="178" customFormat="1" x14ac:dyDescent="0.25">
      <c r="Q41" s="177"/>
      <c r="R41" s="177"/>
      <c r="S41" s="177"/>
      <c r="T41" s="177"/>
      <c r="U41" s="177"/>
      <c r="V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  <c r="BJ41" s="177"/>
      <c r="BK41" s="180"/>
      <c r="BL41" s="180"/>
      <c r="BM41" s="180"/>
      <c r="BN41" s="180"/>
      <c r="BO41" s="180"/>
      <c r="BP41" s="180"/>
      <c r="BQ41" s="180"/>
      <c r="BR41" s="180"/>
      <c r="BS41" s="180"/>
      <c r="BT41" s="180"/>
      <c r="BU41" s="180"/>
      <c r="BV41" s="180"/>
      <c r="BW41" s="180"/>
      <c r="BX41" s="180"/>
      <c r="BY41" s="180"/>
      <c r="BZ41" s="180"/>
      <c r="CA41" s="180"/>
      <c r="CB41" s="180"/>
      <c r="CC41" s="180"/>
      <c r="CD41" s="180"/>
      <c r="CE41" s="180"/>
      <c r="CF41" s="180"/>
      <c r="CG41" s="180"/>
      <c r="CH41" s="180"/>
      <c r="CI41" s="180"/>
      <c r="CJ41" s="180"/>
      <c r="CK41" s="180"/>
      <c r="CL41" s="180"/>
      <c r="CM41" s="180"/>
      <c r="CN41" s="180"/>
      <c r="CO41" s="180"/>
      <c r="CP41" s="180"/>
      <c r="CQ41" s="180"/>
      <c r="CR41" s="180"/>
      <c r="CS41" s="180"/>
      <c r="CT41" s="180"/>
      <c r="CU41" s="180"/>
      <c r="CV41" s="180"/>
      <c r="CW41" s="180"/>
      <c r="CX41" s="180"/>
      <c r="CY41" s="180"/>
      <c r="CZ41" s="180"/>
      <c r="DA41" s="180"/>
      <c r="DB41" s="180"/>
      <c r="DC41" s="180"/>
      <c r="DD41" s="180"/>
      <c r="DE41" s="180"/>
      <c r="DF41" s="180"/>
      <c r="DG41" s="180"/>
      <c r="DH41" s="180"/>
      <c r="DI41" s="180"/>
    </row>
    <row r="42" spans="2:113" s="178" customFormat="1" x14ac:dyDescent="0.25"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  <c r="BI42" s="177"/>
      <c r="BJ42" s="177"/>
      <c r="BK42" s="180"/>
      <c r="BL42" s="180"/>
      <c r="BM42" s="180"/>
      <c r="BN42" s="180"/>
      <c r="BO42" s="180"/>
      <c r="BP42" s="180"/>
      <c r="BQ42" s="180"/>
      <c r="BR42" s="180"/>
      <c r="BS42" s="180"/>
      <c r="BT42" s="180"/>
      <c r="BU42" s="180"/>
      <c r="BV42" s="180"/>
      <c r="BW42" s="180"/>
      <c r="BX42" s="180"/>
      <c r="BY42" s="180"/>
      <c r="BZ42" s="180"/>
      <c r="CA42" s="180"/>
      <c r="CB42" s="180"/>
      <c r="CC42" s="180"/>
      <c r="CD42" s="180"/>
      <c r="CE42" s="180"/>
      <c r="CF42" s="180"/>
      <c r="CG42" s="180"/>
      <c r="CH42" s="180"/>
      <c r="CI42" s="180"/>
      <c r="CJ42" s="180"/>
      <c r="CK42" s="180"/>
      <c r="CL42" s="180"/>
      <c r="CM42" s="180"/>
      <c r="CN42" s="180"/>
      <c r="CO42" s="180"/>
      <c r="CP42" s="180"/>
      <c r="CQ42" s="180"/>
      <c r="CR42" s="180"/>
      <c r="CS42" s="180"/>
      <c r="CT42" s="180"/>
      <c r="CU42" s="180"/>
      <c r="CV42" s="180"/>
      <c r="CW42" s="180"/>
      <c r="CX42" s="180"/>
      <c r="CY42" s="180"/>
      <c r="CZ42" s="180"/>
      <c r="DA42" s="180"/>
      <c r="DB42" s="180"/>
      <c r="DC42" s="180"/>
      <c r="DD42" s="180"/>
      <c r="DE42" s="180"/>
      <c r="DF42" s="180"/>
      <c r="DG42" s="180"/>
      <c r="DH42" s="180"/>
      <c r="DI42" s="180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8" type="noConversion"/>
  <pageMargins left="0.78740157480314965" right="0.78740157480314965" top="0.78740157480314965" bottom="0.39370078740157483" header="0.19685039370078741" footer="0.19685039370078741"/>
  <pageSetup paperSize="8" scale="67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C42" sqref="C42"/>
    </sheetView>
  </sheetViews>
  <sheetFormatPr defaultColWidth="17.7109375" defaultRowHeight="15.75" x14ac:dyDescent="0.25"/>
  <cols>
    <col min="1" max="3" width="10.7109375" style="54" customWidth="1"/>
    <col min="4" max="4" width="11.5703125" style="54" customWidth="1"/>
    <col min="5" max="5" width="11.85546875" style="54" customWidth="1"/>
    <col min="6" max="6" width="8.7109375" style="54" customWidth="1"/>
    <col min="7" max="7" width="10.28515625" style="54" customWidth="1"/>
    <col min="8" max="8" width="8.7109375" style="54" customWidth="1"/>
    <col min="9" max="9" width="8.28515625" style="54" customWidth="1"/>
    <col min="10" max="10" width="20.140625" style="54" customWidth="1"/>
    <col min="11" max="11" width="11.140625" style="54" customWidth="1"/>
    <col min="12" max="12" width="8.85546875" style="54" customWidth="1"/>
    <col min="13" max="13" width="8.7109375" style="54" customWidth="1"/>
    <col min="14" max="14" width="13.7109375" style="54" customWidth="1"/>
    <col min="15" max="16" width="8.7109375" style="54" customWidth="1"/>
    <col min="17" max="17" width="11.85546875" style="54" customWidth="1"/>
    <col min="18" max="18" width="12" style="54" customWidth="1"/>
    <col min="19" max="19" width="18.28515625" style="54" customWidth="1"/>
    <col min="20" max="20" width="22.42578125" style="54" customWidth="1"/>
    <col min="21" max="21" width="30.7109375" style="54" customWidth="1"/>
    <col min="22" max="23" width="8.7109375" style="54" customWidth="1"/>
    <col min="24" max="24" width="24.5703125" style="54" customWidth="1"/>
    <col min="25" max="25" width="15.28515625" style="54" customWidth="1"/>
    <col min="26" max="26" width="18.5703125" style="54" customWidth="1"/>
    <col min="27" max="27" width="19.140625" style="54" customWidth="1"/>
    <col min="28" max="240" width="10.7109375" style="54" customWidth="1"/>
    <col min="241" max="242" width="15.7109375" style="54" customWidth="1"/>
    <col min="243" max="245" width="14.7109375" style="54" customWidth="1"/>
    <col min="246" max="249" width="13.7109375" style="54" customWidth="1"/>
    <col min="250" max="253" width="15.7109375" style="54" customWidth="1"/>
    <col min="254" max="254" width="22.85546875" style="54" customWidth="1"/>
    <col min="255" max="255" width="20.7109375" style="54" customWidth="1"/>
    <col min="256" max="16384" width="17.7109375" style="54"/>
  </cols>
  <sheetData>
    <row r="1" spans="1:27" ht="25.5" customHeight="1" x14ac:dyDescent="0.25">
      <c r="AA1" s="34" t="s">
        <v>58</v>
      </c>
    </row>
    <row r="2" spans="1:27" s="2" customFormat="1" ht="18.75" customHeight="1" x14ac:dyDescent="0.3">
      <c r="E2" s="33"/>
      <c r="AA2" s="35" t="s">
        <v>7</v>
      </c>
    </row>
    <row r="3" spans="1:27" s="2" customFormat="1" ht="18.75" customHeight="1" x14ac:dyDescent="0.3">
      <c r="E3" s="33"/>
      <c r="AA3" s="35" t="s">
        <v>57</v>
      </c>
    </row>
    <row r="4" spans="1:27" s="2" customFormat="1" x14ac:dyDescent="0.2">
      <c r="E4" s="36"/>
    </row>
    <row r="5" spans="1:27" s="2" customFormat="1" x14ac:dyDescent="0.2">
      <c r="A5" s="224" t="str">
        <f>'1. паспорт местоположение'!$A$5</f>
        <v>Год раскрытия информации: 2019 год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</row>
    <row r="6" spans="1:27" s="2" customFormat="1" x14ac:dyDescent="0.2">
      <c r="A6" s="36"/>
    </row>
    <row r="7" spans="1:27" s="2" customFormat="1" ht="18.75" x14ac:dyDescent="0.2">
      <c r="A7" s="228" t="s">
        <v>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</row>
    <row r="8" spans="1:27" s="2" customFormat="1" ht="18.75" x14ac:dyDescent="0.2">
      <c r="A8" s="228"/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</row>
    <row r="9" spans="1:27" s="2" customFormat="1" ht="18.75" customHeight="1" x14ac:dyDescent="0.2">
      <c r="A9" s="229" t="s">
        <v>334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</row>
    <row r="10" spans="1:27" s="2" customFormat="1" ht="18.75" customHeight="1" x14ac:dyDescent="0.2">
      <c r="A10" s="230" t="s">
        <v>5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</row>
    <row r="11" spans="1:27" s="2" customFormat="1" ht="18.75" x14ac:dyDescent="0.2">
      <c r="A11" s="228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</row>
    <row r="12" spans="1:27" s="2" customFormat="1" ht="18.75" customHeight="1" x14ac:dyDescent="0.2">
      <c r="A12" s="229" t="s">
        <v>471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29"/>
      <c r="Z12" s="229"/>
      <c r="AA12" s="229"/>
    </row>
    <row r="13" spans="1:27" s="2" customFormat="1" ht="18.75" customHeight="1" x14ac:dyDescent="0.2">
      <c r="A13" s="230" t="s">
        <v>4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</row>
    <row r="14" spans="1:27" s="50" customFormat="1" ht="15.75" customHeight="1" x14ac:dyDescent="0.2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</row>
    <row r="15" spans="1:27" s="51" customFormat="1" x14ac:dyDescent="0.2">
      <c r="A15" s="231" t="str">
        <f>'1. паспорт местоположение'!A15:C15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</row>
    <row r="16" spans="1:27" s="51" customFormat="1" ht="15" customHeight="1" x14ac:dyDescent="0.2">
      <c r="A16" s="230" t="s">
        <v>3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30"/>
      <c r="Z16" s="230"/>
      <c r="AA16" s="230"/>
    </row>
    <row r="17" spans="1:27" s="51" customFormat="1" ht="15" customHeight="1" x14ac:dyDescent="0.2"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</row>
    <row r="18" spans="1:27" s="51" customFormat="1" ht="15" customHeight="1" x14ac:dyDescent="0.2"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247"/>
      <c r="W18" s="247"/>
      <c r="X18" s="247"/>
      <c r="Y18" s="247"/>
    </row>
    <row r="19" spans="1:27" ht="25.5" customHeight="1" x14ac:dyDescent="0.25">
      <c r="A19" s="247" t="s">
        <v>385</v>
      </c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7"/>
      <c r="O19" s="247"/>
      <c r="P19" s="247"/>
      <c r="Q19" s="247"/>
      <c r="R19" s="247"/>
      <c r="S19" s="247"/>
      <c r="T19" s="247"/>
      <c r="U19" s="247"/>
      <c r="V19" s="247"/>
      <c r="W19" s="247"/>
      <c r="X19" s="247"/>
      <c r="Y19" s="247"/>
      <c r="Z19" s="247"/>
      <c r="AA19" s="247"/>
    </row>
    <row r="20" spans="1:27" s="53" customFormat="1" ht="21" customHeight="1" x14ac:dyDescent="0.25"/>
    <row r="21" spans="1:27" ht="15.75" customHeight="1" x14ac:dyDescent="0.25">
      <c r="A21" s="253" t="s">
        <v>2</v>
      </c>
      <c r="B21" s="249" t="s">
        <v>386</v>
      </c>
      <c r="C21" s="250"/>
      <c r="D21" s="249" t="s">
        <v>387</v>
      </c>
      <c r="E21" s="250"/>
      <c r="F21" s="240" t="s">
        <v>345</v>
      </c>
      <c r="G21" s="242"/>
      <c r="H21" s="242"/>
      <c r="I21" s="241"/>
      <c r="J21" s="253" t="s">
        <v>388</v>
      </c>
      <c r="K21" s="249" t="s">
        <v>389</v>
      </c>
      <c r="L21" s="250"/>
      <c r="M21" s="249" t="s">
        <v>390</v>
      </c>
      <c r="N21" s="250"/>
      <c r="O21" s="249" t="s">
        <v>391</v>
      </c>
      <c r="P21" s="250"/>
      <c r="Q21" s="249" t="s">
        <v>392</v>
      </c>
      <c r="R21" s="250"/>
      <c r="S21" s="253" t="s">
        <v>393</v>
      </c>
      <c r="T21" s="253" t="s">
        <v>394</v>
      </c>
      <c r="U21" s="253" t="s">
        <v>395</v>
      </c>
      <c r="V21" s="249" t="s">
        <v>396</v>
      </c>
      <c r="W21" s="250"/>
      <c r="X21" s="240" t="s">
        <v>364</v>
      </c>
      <c r="Y21" s="242"/>
      <c r="Z21" s="240" t="s">
        <v>365</v>
      </c>
      <c r="AA21" s="242"/>
    </row>
    <row r="22" spans="1:27" ht="216" customHeight="1" x14ac:dyDescent="0.25">
      <c r="A22" s="255"/>
      <c r="B22" s="251"/>
      <c r="C22" s="252"/>
      <c r="D22" s="251"/>
      <c r="E22" s="252"/>
      <c r="F22" s="240" t="s">
        <v>397</v>
      </c>
      <c r="G22" s="241"/>
      <c r="H22" s="240" t="s">
        <v>398</v>
      </c>
      <c r="I22" s="241"/>
      <c r="J22" s="254"/>
      <c r="K22" s="251"/>
      <c r="L22" s="252"/>
      <c r="M22" s="251"/>
      <c r="N22" s="252"/>
      <c r="O22" s="251"/>
      <c r="P22" s="252"/>
      <c r="Q22" s="251"/>
      <c r="R22" s="252"/>
      <c r="S22" s="254"/>
      <c r="T22" s="254"/>
      <c r="U22" s="254"/>
      <c r="V22" s="251"/>
      <c r="W22" s="252"/>
      <c r="X22" s="55" t="s">
        <v>366</v>
      </c>
      <c r="Y22" s="55" t="s">
        <v>367</v>
      </c>
      <c r="Z22" s="55" t="s">
        <v>368</v>
      </c>
      <c r="AA22" s="55" t="s">
        <v>369</v>
      </c>
    </row>
    <row r="23" spans="1:27" ht="60" customHeight="1" x14ac:dyDescent="0.25">
      <c r="A23" s="254"/>
      <c r="B23" s="81" t="s">
        <v>370</v>
      </c>
      <c r="C23" s="81" t="s">
        <v>519</v>
      </c>
      <c r="D23" s="81" t="s">
        <v>370</v>
      </c>
      <c r="E23" s="81" t="s">
        <v>371</v>
      </c>
      <c r="F23" s="81" t="s">
        <v>370</v>
      </c>
      <c r="G23" s="81" t="s">
        <v>371</v>
      </c>
      <c r="H23" s="81" t="s">
        <v>370</v>
      </c>
      <c r="I23" s="81" t="s">
        <v>371</v>
      </c>
      <c r="J23" s="81" t="s">
        <v>370</v>
      </c>
      <c r="K23" s="81" t="s">
        <v>370</v>
      </c>
      <c r="L23" s="81" t="s">
        <v>371</v>
      </c>
      <c r="M23" s="81" t="s">
        <v>370</v>
      </c>
      <c r="N23" s="81" t="s">
        <v>371</v>
      </c>
      <c r="O23" s="81" t="s">
        <v>370</v>
      </c>
      <c r="P23" s="81" t="s">
        <v>371</v>
      </c>
      <c r="Q23" s="81" t="s">
        <v>370</v>
      </c>
      <c r="R23" s="81" t="s">
        <v>371</v>
      </c>
      <c r="S23" s="81" t="s">
        <v>370</v>
      </c>
      <c r="T23" s="81" t="s">
        <v>370</v>
      </c>
      <c r="U23" s="81" t="s">
        <v>370</v>
      </c>
      <c r="V23" s="81" t="s">
        <v>370</v>
      </c>
      <c r="W23" s="81" t="s">
        <v>371</v>
      </c>
      <c r="X23" s="81" t="s">
        <v>370</v>
      </c>
      <c r="Y23" s="81" t="s">
        <v>370</v>
      </c>
      <c r="Z23" s="55" t="s">
        <v>370</v>
      </c>
      <c r="AA23" s="55" t="s">
        <v>370</v>
      </c>
    </row>
    <row r="24" spans="1:27" x14ac:dyDescent="0.25">
      <c r="A24" s="171">
        <v>1</v>
      </c>
      <c r="B24" s="171">
        <v>2</v>
      </c>
      <c r="C24" s="171">
        <v>3</v>
      </c>
      <c r="D24" s="171">
        <v>4</v>
      </c>
      <c r="E24" s="171">
        <v>5</v>
      </c>
      <c r="F24" s="171">
        <v>6</v>
      </c>
      <c r="G24" s="171">
        <v>7</v>
      </c>
      <c r="H24" s="171">
        <v>8</v>
      </c>
      <c r="I24" s="171">
        <v>9</v>
      </c>
      <c r="J24" s="171">
        <v>10</v>
      </c>
      <c r="K24" s="171">
        <v>11</v>
      </c>
      <c r="L24" s="171">
        <v>12</v>
      </c>
      <c r="M24" s="171">
        <v>13</v>
      </c>
      <c r="N24" s="171">
        <v>14</v>
      </c>
      <c r="O24" s="171">
        <v>15</v>
      </c>
      <c r="P24" s="171">
        <v>16</v>
      </c>
      <c r="Q24" s="171">
        <v>19</v>
      </c>
      <c r="R24" s="171">
        <v>20</v>
      </c>
      <c r="S24" s="171">
        <v>21</v>
      </c>
      <c r="T24" s="171">
        <v>22</v>
      </c>
      <c r="U24" s="171">
        <v>23</v>
      </c>
      <c r="V24" s="171">
        <v>24</v>
      </c>
      <c r="W24" s="171">
        <v>25</v>
      </c>
      <c r="X24" s="171">
        <v>26</v>
      </c>
      <c r="Y24" s="171">
        <v>27</v>
      </c>
      <c r="Z24" s="171">
        <v>28</v>
      </c>
      <c r="AA24" s="171">
        <v>29</v>
      </c>
    </row>
    <row r="25" spans="1:27" s="53" customFormat="1" ht="24" customHeight="1" x14ac:dyDescent="0.25">
      <c r="A25" s="172" t="s">
        <v>326</v>
      </c>
      <c r="B25" s="172" t="s">
        <v>326</v>
      </c>
      <c r="C25" s="172" t="s">
        <v>326</v>
      </c>
      <c r="D25" s="172" t="s">
        <v>326</v>
      </c>
      <c r="E25" s="172" t="s">
        <v>326</v>
      </c>
      <c r="F25" s="172" t="s">
        <v>326</v>
      </c>
      <c r="G25" s="172" t="s">
        <v>326</v>
      </c>
      <c r="H25" s="172" t="s">
        <v>326</v>
      </c>
      <c r="I25" s="172" t="s">
        <v>326</v>
      </c>
      <c r="J25" s="172" t="s">
        <v>326</v>
      </c>
      <c r="K25" s="172" t="s">
        <v>326</v>
      </c>
      <c r="L25" s="172" t="s">
        <v>326</v>
      </c>
      <c r="M25" s="172" t="s">
        <v>326</v>
      </c>
      <c r="N25" s="172" t="s">
        <v>326</v>
      </c>
      <c r="O25" s="172" t="s">
        <v>326</v>
      </c>
      <c r="P25" s="172" t="s">
        <v>326</v>
      </c>
      <c r="Q25" s="172" t="s">
        <v>326</v>
      </c>
      <c r="R25" s="172" t="s">
        <v>326</v>
      </c>
      <c r="S25" s="172" t="s">
        <v>326</v>
      </c>
      <c r="T25" s="172" t="s">
        <v>326</v>
      </c>
      <c r="U25" s="172" t="s">
        <v>326</v>
      </c>
      <c r="V25" s="172" t="s">
        <v>326</v>
      </c>
      <c r="W25" s="172" t="s">
        <v>326</v>
      </c>
      <c r="X25" s="172" t="s">
        <v>326</v>
      </c>
      <c r="Y25" s="172" t="s">
        <v>326</v>
      </c>
      <c r="Z25" s="172" t="s">
        <v>326</v>
      </c>
      <c r="AA25" s="172" t="s">
        <v>326</v>
      </c>
    </row>
    <row r="26" spans="1:27" ht="21.75" customHeight="1" x14ac:dyDescent="0.25"/>
    <row r="27" spans="1:27" s="174" customFormat="1" ht="12.75" x14ac:dyDescent="0.2">
      <c r="A27" s="173"/>
      <c r="B27" s="173"/>
      <c r="C27" s="173"/>
      <c r="E27" s="173"/>
      <c r="X27" s="175"/>
      <c r="Y27" s="175"/>
      <c r="Z27" s="175"/>
      <c r="AA27" s="175"/>
    </row>
    <row r="28" spans="1:27" s="174" customFormat="1" ht="12.75" x14ac:dyDescent="0.2">
      <c r="A28" s="173"/>
      <c r="B28" s="173"/>
      <c r="C28" s="173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8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4" zoomScale="60" zoomScaleNormal="100" workbookViewId="0">
      <selection activeCell="C30" sqref="C30"/>
    </sheetView>
  </sheetViews>
  <sheetFormatPr defaultRowHeight="15" x14ac:dyDescent="0.25"/>
  <cols>
    <col min="1" max="1" width="6.140625" style="66" customWidth="1"/>
    <col min="2" max="2" width="69.7109375" style="66" customWidth="1"/>
    <col min="3" max="3" width="156.5703125" style="66" customWidth="1"/>
    <col min="4" max="16384" width="9.140625" style="66"/>
  </cols>
  <sheetData>
    <row r="1" spans="1:3" s="2" customFormat="1" ht="18.75" customHeight="1" x14ac:dyDescent="0.2">
      <c r="A1" s="33"/>
      <c r="C1" s="34" t="s">
        <v>58</v>
      </c>
    </row>
    <row r="2" spans="1:3" s="2" customFormat="1" ht="18.75" customHeight="1" x14ac:dyDescent="0.3">
      <c r="A2" s="33"/>
      <c r="C2" s="35" t="s">
        <v>7</v>
      </c>
    </row>
    <row r="3" spans="1:3" s="2" customFormat="1" ht="18.75" customHeight="1" x14ac:dyDescent="0.3">
      <c r="A3" s="36"/>
      <c r="C3" s="35" t="s">
        <v>57</v>
      </c>
    </row>
    <row r="4" spans="1:3" s="2" customFormat="1" ht="18.75" customHeight="1" x14ac:dyDescent="0.3">
      <c r="A4" s="36"/>
      <c r="C4" s="35"/>
    </row>
    <row r="5" spans="1:3" s="2" customFormat="1" ht="15.75" x14ac:dyDescent="0.2">
      <c r="A5" s="224" t="str">
        <f>'1. паспорт местоположение'!A5:C5</f>
        <v>Год раскрытия информации: 2019 год</v>
      </c>
      <c r="B5" s="224"/>
      <c r="C5" s="224"/>
    </row>
    <row r="6" spans="1:3" s="2" customFormat="1" ht="7.5" customHeight="1" x14ac:dyDescent="0.2">
      <c r="A6" s="36"/>
    </row>
    <row r="7" spans="1:3" s="2" customFormat="1" ht="18.75" x14ac:dyDescent="0.2">
      <c r="A7" s="228" t="s">
        <v>6</v>
      </c>
      <c r="B7" s="228"/>
      <c r="C7" s="228"/>
    </row>
    <row r="8" spans="1:3" s="2" customFormat="1" ht="9.75" customHeight="1" x14ac:dyDescent="0.2">
      <c r="A8" s="228"/>
      <c r="B8" s="228"/>
      <c r="C8" s="228"/>
    </row>
    <row r="9" spans="1:3" s="2" customFormat="1" x14ac:dyDescent="0.2">
      <c r="A9" s="256" t="str">
        <f>'1. паспорт местоположение'!A9:C9</f>
        <v>АО "Чеченэнерго"</v>
      </c>
      <c r="B9" s="256"/>
      <c r="C9" s="256"/>
    </row>
    <row r="10" spans="1:3" s="2" customFormat="1" ht="15.75" x14ac:dyDescent="0.2">
      <c r="A10" s="230" t="s">
        <v>5</v>
      </c>
      <c r="B10" s="230"/>
      <c r="C10" s="230"/>
    </row>
    <row r="11" spans="1:3" s="2" customFormat="1" ht="10.5" customHeight="1" x14ac:dyDescent="0.2">
      <c r="A11" s="228"/>
      <c r="B11" s="228"/>
      <c r="C11" s="228"/>
    </row>
    <row r="12" spans="1:3" s="2" customFormat="1" x14ac:dyDescent="0.2">
      <c r="A12" s="256" t="str">
        <f>'1. паспорт местоположение'!A12:C12</f>
        <v>F_prj_109108_5385</v>
      </c>
      <c r="B12" s="256"/>
      <c r="C12" s="256"/>
    </row>
    <row r="13" spans="1:3" s="2" customFormat="1" ht="15.75" x14ac:dyDescent="0.2">
      <c r="A13" s="230" t="s">
        <v>4</v>
      </c>
      <c r="B13" s="230"/>
      <c r="C13" s="230"/>
    </row>
    <row r="14" spans="1:3" s="50" customFormat="1" ht="15.75" customHeight="1" x14ac:dyDescent="0.2">
      <c r="A14" s="239"/>
      <c r="B14" s="239"/>
      <c r="C14" s="239"/>
    </row>
    <row r="15" spans="1:3" s="51" customFormat="1" ht="44.25" customHeight="1" x14ac:dyDescent="0.2">
      <c r="A15" s="231" t="str">
        <f>'1. паспорт местоположение'!A15:C15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5" s="231"/>
      <c r="C15" s="231"/>
    </row>
    <row r="16" spans="1:3" s="51" customFormat="1" ht="15" customHeight="1" x14ac:dyDescent="0.2">
      <c r="A16" s="230" t="s">
        <v>3</v>
      </c>
      <c r="B16" s="230"/>
      <c r="C16" s="230"/>
    </row>
    <row r="17" spans="1:3" s="51" customFormat="1" ht="9" customHeight="1" x14ac:dyDescent="0.2">
      <c r="A17" s="232"/>
      <c r="B17" s="232"/>
      <c r="C17" s="232"/>
    </row>
    <row r="18" spans="1:3" s="51" customFormat="1" ht="27.75" customHeight="1" x14ac:dyDescent="0.2">
      <c r="A18" s="238" t="s">
        <v>273</v>
      </c>
      <c r="B18" s="238"/>
      <c r="C18" s="238"/>
    </row>
    <row r="19" spans="1:3" s="51" customFormat="1" ht="9" customHeight="1" x14ac:dyDescent="0.2">
      <c r="A19" s="86"/>
      <c r="B19" s="86"/>
      <c r="C19" s="86"/>
    </row>
    <row r="20" spans="1:3" s="51" customFormat="1" ht="24.75" customHeight="1" x14ac:dyDescent="0.2">
      <c r="A20" s="169" t="s">
        <v>2</v>
      </c>
      <c r="B20" s="161" t="s">
        <v>56</v>
      </c>
      <c r="C20" s="160" t="s">
        <v>55</v>
      </c>
    </row>
    <row r="21" spans="1:3" s="51" customFormat="1" ht="16.5" customHeight="1" x14ac:dyDescent="0.2">
      <c r="A21" s="160">
        <v>1</v>
      </c>
      <c r="B21" s="161">
        <v>2</v>
      </c>
      <c r="C21" s="160">
        <v>3</v>
      </c>
    </row>
    <row r="22" spans="1:3" s="51" customFormat="1" ht="114" customHeight="1" x14ac:dyDescent="0.2">
      <c r="A22" s="3" t="s">
        <v>54</v>
      </c>
      <c r="B22" s="5" t="s">
        <v>277</v>
      </c>
      <c r="C22" s="4" t="s">
        <v>528</v>
      </c>
    </row>
    <row r="23" spans="1:3" ht="83.25" customHeight="1" x14ac:dyDescent="0.25">
      <c r="A23" s="3" t="s">
        <v>53</v>
      </c>
      <c r="B23" s="170" t="s">
        <v>50</v>
      </c>
      <c r="C23" s="4" t="s">
        <v>529</v>
      </c>
    </row>
    <row r="24" spans="1:3" ht="204.75" x14ac:dyDescent="0.25">
      <c r="A24" s="3" t="s">
        <v>52</v>
      </c>
      <c r="B24" s="170" t="s">
        <v>283</v>
      </c>
      <c r="C24" s="169" t="s">
        <v>293</v>
      </c>
    </row>
    <row r="25" spans="1:3" ht="38.25" customHeight="1" x14ac:dyDescent="0.25">
      <c r="A25" s="3" t="s">
        <v>51</v>
      </c>
      <c r="B25" s="170" t="s">
        <v>284</v>
      </c>
      <c r="C25" s="4" t="s">
        <v>530</v>
      </c>
    </row>
    <row r="26" spans="1:3" ht="33" customHeight="1" x14ac:dyDescent="0.25">
      <c r="A26" s="3" t="s">
        <v>49</v>
      </c>
      <c r="B26" s="170" t="s">
        <v>167</v>
      </c>
      <c r="C26" s="169" t="s">
        <v>502</v>
      </c>
    </row>
    <row r="27" spans="1:3" ht="94.5" customHeight="1" x14ac:dyDescent="0.25">
      <c r="A27" s="3" t="s">
        <v>48</v>
      </c>
      <c r="B27" s="170" t="s">
        <v>278</v>
      </c>
      <c r="C27" s="169" t="s">
        <v>517</v>
      </c>
    </row>
    <row r="28" spans="1:3" ht="27.75" customHeight="1" x14ac:dyDescent="0.25">
      <c r="A28" s="3" t="s">
        <v>46</v>
      </c>
      <c r="B28" s="170" t="s">
        <v>47</v>
      </c>
      <c r="C28" s="74">
        <f>VLOOKUP($A$12,'[1]6.2. отчет'!$D:$OP,399,0)</f>
        <v>2013</v>
      </c>
    </row>
    <row r="29" spans="1:3" ht="22.5" customHeight="1" x14ac:dyDescent="0.25">
      <c r="A29" s="3" t="s">
        <v>44</v>
      </c>
      <c r="B29" s="169" t="s">
        <v>45</v>
      </c>
      <c r="C29" s="74" t="str">
        <f>VLOOKUP($A$12,'[1]6.2. отчет'!$D:$OP,402,0)</f>
        <v>нд</v>
      </c>
    </row>
    <row r="30" spans="1:3" ht="24.75" customHeight="1" x14ac:dyDescent="0.25">
      <c r="A30" s="3" t="s">
        <v>62</v>
      </c>
      <c r="B30" s="169" t="s">
        <v>43</v>
      </c>
      <c r="C30" s="74" t="str">
        <f>VLOOKUP($A$12,'[1]6.2. отчет'!$D:$OP,403,0)</f>
        <v>с</v>
      </c>
    </row>
    <row r="31" spans="1:3" x14ac:dyDescent="0.25">
      <c r="A31" s="65"/>
      <c r="B31" s="65"/>
      <c r="C31" s="65"/>
    </row>
    <row r="32" spans="1:3" x14ac:dyDescent="0.25">
      <c r="A32" s="65"/>
      <c r="B32" s="65"/>
      <c r="C32" s="65"/>
    </row>
    <row r="33" spans="1:3" x14ac:dyDescent="0.25">
      <c r="A33" s="65"/>
      <c r="B33" s="65"/>
      <c r="C33" s="65"/>
    </row>
    <row r="34" spans="1:3" x14ac:dyDescent="0.25">
      <c r="A34" s="65"/>
      <c r="B34" s="65"/>
      <c r="C34" s="65"/>
    </row>
    <row r="35" spans="1:3" x14ac:dyDescent="0.25">
      <c r="A35" s="65"/>
      <c r="B35" s="65"/>
      <c r="C35" s="65"/>
    </row>
    <row r="36" spans="1:3" x14ac:dyDescent="0.25">
      <c r="A36" s="65"/>
      <c r="B36" s="65"/>
      <c r="C36" s="65"/>
    </row>
    <row r="37" spans="1:3" x14ac:dyDescent="0.25">
      <c r="A37" s="65"/>
      <c r="B37" s="65"/>
      <c r="C37" s="65"/>
    </row>
    <row r="38" spans="1:3" x14ac:dyDescent="0.25">
      <c r="A38" s="65"/>
      <c r="B38" s="65"/>
      <c r="C38" s="65"/>
    </row>
    <row r="39" spans="1:3" x14ac:dyDescent="0.25">
      <c r="A39" s="65"/>
      <c r="B39" s="65"/>
      <c r="C39" s="65"/>
    </row>
    <row r="40" spans="1:3" x14ac:dyDescent="0.25">
      <c r="A40" s="65"/>
      <c r="B40" s="65"/>
      <c r="C40" s="65"/>
    </row>
    <row r="41" spans="1:3" x14ac:dyDescent="0.25">
      <c r="A41" s="65"/>
      <c r="B41" s="65"/>
      <c r="C41" s="65"/>
    </row>
    <row r="42" spans="1:3" x14ac:dyDescent="0.25">
      <c r="A42" s="65"/>
      <c r="B42" s="65"/>
      <c r="C42" s="65"/>
    </row>
    <row r="43" spans="1:3" x14ac:dyDescent="0.25">
      <c r="A43" s="65"/>
      <c r="B43" s="65"/>
      <c r="C43" s="65"/>
    </row>
    <row r="44" spans="1:3" x14ac:dyDescent="0.25">
      <c r="A44" s="65"/>
      <c r="B44" s="65"/>
      <c r="C44" s="65"/>
    </row>
    <row r="45" spans="1:3" x14ac:dyDescent="0.25">
      <c r="A45" s="65"/>
      <c r="B45" s="65"/>
      <c r="C45" s="65"/>
    </row>
    <row r="46" spans="1:3" x14ac:dyDescent="0.25">
      <c r="A46" s="65"/>
      <c r="B46" s="65"/>
      <c r="C46" s="65"/>
    </row>
    <row r="47" spans="1:3" x14ac:dyDescent="0.25">
      <c r="A47" s="65"/>
      <c r="B47" s="65"/>
      <c r="C47" s="65"/>
    </row>
    <row r="48" spans="1:3" x14ac:dyDescent="0.25">
      <c r="A48" s="65"/>
      <c r="B48" s="65"/>
      <c r="C48" s="65"/>
    </row>
    <row r="49" spans="1:3" x14ac:dyDescent="0.25">
      <c r="A49" s="65"/>
      <c r="B49" s="65"/>
      <c r="C49" s="65"/>
    </row>
    <row r="50" spans="1:3" x14ac:dyDescent="0.25">
      <c r="A50" s="65"/>
      <c r="B50" s="65"/>
      <c r="C50" s="65"/>
    </row>
    <row r="51" spans="1:3" x14ac:dyDescent="0.25">
      <c r="A51" s="65"/>
      <c r="B51" s="65"/>
      <c r="C51" s="65"/>
    </row>
    <row r="52" spans="1:3" x14ac:dyDescent="0.25">
      <c r="A52" s="65"/>
      <c r="B52" s="65"/>
      <c r="C52" s="65"/>
    </row>
    <row r="53" spans="1:3" x14ac:dyDescent="0.25">
      <c r="A53" s="65"/>
      <c r="B53" s="65"/>
      <c r="C53" s="65"/>
    </row>
    <row r="54" spans="1:3" x14ac:dyDescent="0.25">
      <c r="A54" s="65"/>
      <c r="B54" s="65"/>
      <c r="C54" s="65"/>
    </row>
    <row r="55" spans="1:3" x14ac:dyDescent="0.25">
      <c r="A55" s="65"/>
      <c r="B55" s="65"/>
      <c r="C55" s="65"/>
    </row>
    <row r="56" spans="1:3" x14ac:dyDescent="0.25">
      <c r="A56" s="65"/>
      <c r="B56" s="65"/>
      <c r="C56" s="65"/>
    </row>
    <row r="57" spans="1:3" x14ac:dyDescent="0.25">
      <c r="A57" s="65"/>
      <c r="B57" s="65"/>
      <c r="C57" s="65"/>
    </row>
    <row r="58" spans="1:3" x14ac:dyDescent="0.25">
      <c r="A58" s="65"/>
      <c r="B58" s="65"/>
      <c r="C58" s="65"/>
    </row>
    <row r="59" spans="1:3" x14ac:dyDescent="0.25">
      <c r="A59" s="65"/>
      <c r="B59" s="65"/>
      <c r="C59" s="65"/>
    </row>
    <row r="60" spans="1:3" x14ac:dyDescent="0.25">
      <c r="A60" s="65"/>
      <c r="B60" s="65"/>
      <c r="C60" s="65"/>
    </row>
    <row r="61" spans="1:3" x14ac:dyDescent="0.25">
      <c r="A61" s="65"/>
      <c r="B61" s="65"/>
      <c r="C61" s="65"/>
    </row>
    <row r="62" spans="1:3" x14ac:dyDescent="0.25">
      <c r="A62" s="65"/>
      <c r="B62" s="65"/>
      <c r="C62" s="65"/>
    </row>
    <row r="63" spans="1:3" x14ac:dyDescent="0.25">
      <c r="A63" s="65"/>
      <c r="B63" s="65"/>
      <c r="C63" s="65"/>
    </row>
    <row r="64" spans="1:3" x14ac:dyDescent="0.25">
      <c r="A64" s="65"/>
      <c r="B64" s="65"/>
      <c r="C64" s="65"/>
    </row>
    <row r="65" spans="1:3" x14ac:dyDescent="0.25">
      <c r="A65" s="65"/>
      <c r="B65" s="65"/>
      <c r="C65" s="65"/>
    </row>
    <row r="66" spans="1:3" x14ac:dyDescent="0.25">
      <c r="A66" s="65"/>
      <c r="B66" s="65"/>
      <c r="C66" s="65"/>
    </row>
    <row r="67" spans="1:3" x14ac:dyDescent="0.25">
      <c r="A67" s="65"/>
      <c r="B67" s="65"/>
      <c r="C67" s="65"/>
    </row>
    <row r="68" spans="1:3" x14ac:dyDescent="0.25">
      <c r="A68" s="65"/>
      <c r="B68" s="65"/>
      <c r="C68" s="65"/>
    </row>
    <row r="69" spans="1:3" x14ac:dyDescent="0.25">
      <c r="A69" s="65"/>
      <c r="B69" s="65"/>
      <c r="C69" s="65"/>
    </row>
    <row r="70" spans="1:3" x14ac:dyDescent="0.25">
      <c r="A70" s="65"/>
      <c r="B70" s="65"/>
      <c r="C70" s="65"/>
    </row>
    <row r="71" spans="1:3" x14ac:dyDescent="0.25">
      <c r="A71" s="65"/>
      <c r="B71" s="65"/>
      <c r="C71" s="65"/>
    </row>
    <row r="72" spans="1:3" x14ac:dyDescent="0.25">
      <c r="A72" s="65"/>
      <c r="B72" s="65"/>
      <c r="C72" s="65"/>
    </row>
    <row r="73" spans="1:3" x14ac:dyDescent="0.25">
      <c r="A73" s="65"/>
      <c r="B73" s="65"/>
      <c r="C73" s="65"/>
    </row>
    <row r="74" spans="1:3" x14ac:dyDescent="0.25">
      <c r="A74" s="65"/>
      <c r="B74" s="65"/>
      <c r="C74" s="65"/>
    </row>
    <row r="75" spans="1:3" x14ac:dyDescent="0.25">
      <c r="A75" s="65"/>
      <c r="B75" s="65"/>
      <c r="C75" s="65"/>
    </row>
    <row r="76" spans="1:3" x14ac:dyDescent="0.25">
      <c r="A76" s="65"/>
      <c r="B76" s="65"/>
      <c r="C76" s="65"/>
    </row>
    <row r="77" spans="1:3" x14ac:dyDescent="0.25">
      <c r="A77" s="65"/>
      <c r="B77" s="65"/>
      <c r="C77" s="65"/>
    </row>
    <row r="78" spans="1:3" x14ac:dyDescent="0.25">
      <c r="A78" s="65"/>
      <c r="B78" s="65"/>
      <c r="C78" s="65"/>
    </row>
    <row r="79" spans="1:3" x14ac:dyDescent="0.25">
      <c r="A79" s="65"/>
      <c r="B79" s="65"/>
      <c r="C79" s="65"/>
    </row>
    <row r="80" spans="1:3" x14ac:dyDescent="0.25">
      <c r="A80" s="65"/>
      <c r="B80" s="65"/>
      <c r="C80" s="65"/>
    </row>
    <row r="81" spans="1:3" x14ac:dyDescent="0.25">
      <c r="A81" s="65"/>
      <c r="B81" s="65"/>
      <c r="C81" s="65"/>
    </row>
    <row r="82" spans="1:3" x14ac:dyDescent="0.25">
      <c r="A82" s="65"/>
      <c r="B82" s="65"/>
      <c r="C82" s="65"/>
    </row>
    <row r="83" spans="1:3" x14ac:dyDescent="0.25">
      <c r="A83" s="65"/>
      <c r="B83" s="65"/>
      <c r="C83" s="65"/>
    </row>
    <row r="84" spans="1:3" x14ac:dyDescent="0.25">
      <c r="A84" s="65"/>
      <c r="B84" s="65"/>
      <c r="C84" s="65"/>
    </row>
    <row r="85" spans="1:3" x14ac:dyDescent="0.25">
      <c r="A85" s="65"/>
      <c r="B85" s="65"/>
      <c r="C85" s="65"/>
    </row>
    <row r="86" spans="1:3" x14ac:dyDescent="0.25">
      <c r="A86" s="65"/>
      <c r="B86" s="65"/>
      <c r="C86" s="65"/>
    </row>
    <row r="87" spans="1:3" x14ac:dyDescent="0.25">
      <c r="A87" s="65"/>
      <c r="B87" s="65"/>
      <c r="C87" s="65"/>
    </row>
    <row r="88" spans="1:3" x14ac:dyDescent="0.25">
      <c r="A88" s="65"/>
      <c r="B88" s="65"/>
      <c r="C88" s="65"/>
    </row>
    <row r="89" spans="1:3" x14ac:dyDescent="0.25">
      <c r="A89" s="65"/>
      <c r="B89" s="65"/>
      <c r="C89" s="65"/>
    </row>
    <row r="90" spans="1:3" x14ac:dyDescent="0.25">
      <c r="A90" s="65"/>
      <c r="B90" s="65"/>
      <c r="C90" s="65"/>
    </row>
    <row r="91" spans="1:3" x14ac:dyDescent="0.25">
      <c r="A91" s="65"/>
      <c r="B91" s="65"/>
      <c r="C91" s="65"/>
    </row>
    <row r="92" spans="1:3" x14ac:dyDescent="0.25">
      <c r="A92" s="65"/>
      <c r="B92" s="65"/>
      <c r="C92" s="65"/>
    </row>
    <row r="93" spans="1:3" x14ac:dyDescent="0.25">
      <c r="A93" s="65"/>
      <c r="B93" s="65"/>
      <c r="C93" s="65"/>
    </row>
    <row r="94" spans="1:3" x14ac:dyDescent="0.25">
      <c r="A94" s="65"/>
      <c r="B94" s="65"/>
      <c r="C94" s="65"/>
    </row>
    <row r="95" spans="1:3" x14ac:dyDescent="0.25">
      <c r="A95" s="65"/>
      <c r="B95" s="65"/>
      <c r="C95" s="65"/>
    </row>
    <row r="96" spans="1:3" x14ac:dyDescent="0.25">
      <c r="A96" s="65"/>
      <c r="B96" s="65"/>
      <c r="C96" s="65"/>
    </row>
    <row r="97" spans="1:3" x14ac:dyDescent="0.25">
      <c r="A97" s="65"/>
      <c r="B97" s="65"/>
      <c r="C97" s="65"/>
    </row>
    <row r="98" spans="1:3" x14ac:dyDescent="0.25">
      <c r="A98" s="65"/>
      <c r="B98" s="65"/>
      <c r="C98" s="65"/>
    </row>
    <row r="99" spans="1:3" x14ac:dyDescent="0.25">
      <c r="A99" s="65"/>
      <c r="B99" s="65"/>
      <c r="C99" s="65"/>
    </row>
    <row r="100" spans="1:3" x14ac:dyDescent="0.25">
      <c r="A100" s="65"/>
      <c r="B100" s="65"/>
      <c r="C100" s="65"/>
    </row>
    <row r="101" spans="1:3" x14ac:dyDescent="0.25">
      <c r="A101" s="65"/>
      <c r="B101" s="65"/>
      <c r="C101" s="65"/>
    </row>
    <row r="102" spans="1:3" x14ac:dyDescent="0.25">
      <c r="A102" s="65"/>
      <c r="B102" s="65"/>
      <c r="C102" s="65"/>
    </row>
    <row r="103" spans="1:3" x14ac:dyDescent="0.25">
      <c r="A103" s="65"/>
      <c r="B103" s="65"/>
      <c r="C103" s="65"/>
    </row>
    <row r="104" spans="1:3" x14ac:dyDescent="0.25">
      <c r="A104" s="65"/>
      <c r="B104" s="65"/>
      <c r="C104" s="65"/>
    </row>
    <row r="105" spans="1:3" x14ac:dyDescent="0.25">
      <c r="A105" s="65"/>
      <c r="B105" s="65"/>
      <c r="C105" s="65"/>
    </row>
    <row r="106" spans="1:3" x14ac:dyDescent="0.25">
      <c r="A106" s="65"/>
      <c r="B106" s="65"/>
      <c r="C106" s="65"/>
    </row>
    <row r="107" spans="1:3" x14ac:dyDescent="0.25">
      <c r="A107" s="65"/>
      <c r="B107" s="65"/>
      <c r="C107" s="65"/>
    </row>
    <row r="108" spans="1:3" x14ac:dyDescent="0.25">
      <c r="A108" s="65"/>
      <c r="B108" s="65"/>
      <c r="C108" s="65"/>
    </row>
    <row r="109" spans="1:3" x14ac:dyDescent="0.25">
      <c r="A109" s="65"/>
      <c r="B109" s="65"/>
      <c r="C109" s="65"/>
    </row>
    <row r="110" spans="1:3" x14ac:dyDescent="0.25">
      <c r="A110" s="65"/>
      <c r="B110" s="65"/>
      <c r="C110" s="65"/>
    </row>
    <row r="111" spans="1:3" x14ac:dyDescent="0.25">
      <c r="A111" s="65"/>
      <c r="B111" s="65"/>
      <c r="C111" s="65"/>
    </row>
    <row r="112" spans="1:3" x14ac:dyDescent="0.25">
      <c r="A112" s="65"/>
      <c r="B112" s="65"/>
      <c r="C112" s="65"/>
    </row>
    <row r="113" spans="1:3" x14ac:dyDescent="0.25">
      <c r="A113" s="65"/>
      <c r="B113" s="65"/>
      <c r="C113" s="65"/>
    </row>
    <row r="114" spans="1:3" x14ac:dyDescent="0.25">
      <c r="A114" s="65"/>
      <c r="B114" s="65"/>
      <c r="C114" s="65"/>
    </row>
    <row r="115" spans="1:3" x14ac:dyDescent="0.25">
      <c r="A115" s="65"/>
      <c r="B115" s="65"/>
      <c r="C115" s="65"/>
    </row>
    <row r="116" spans="1:3" x14ac:dyDescent="0.25">
      <c r="A116" s="65"/>
      <c r="B116" s="65"/>
      <c r="C116" s="65"/>
    </row>
    <row r="117" spans="1:3" x14ac:dyDescent="0.25">
      <c r="A117" s="65"/>
      <c r="B117" s="65"/>
      <c r="C117" s="65"/>
    </row>
    <row r="118" spans="1:3" x14ac:dyDescent="0.25">
      <c r="A118" s="65"/>
      <c r="B118" s="65"/>
      <c r="C118" s="65"/>
    </row>
    <row r="119" spans="1:3" x14ac:dyDescent="0.25">
      <c r="A119" s="65"/>
      <c r="B119" s="65"/>
      <c r="C119" s="65"/>
    </row>
    <row r="120" spans="1:3" x14ac:dyDescent="0.25">
      <c r="A120" s="65"/>
      <c r="B120" s="65"/>
      <c r="C120" s="65"/>
    </row>
    <row r="121" spans="1:3" x14ac:dyDescent="0.25">
      <c r="A121" s="65"/>
      <c r="B121" s="65"/>
      <c r="C121" s="65"/>
    </row>
    <row r="122" spans="1:3" x14ac:dyDescent="0.25">
      <c r="A122" s="65"/>
      <c r="B122" s="65"/>
      <c r="C122" s="65"/>
    </row>
    <row r="123" spans="1:3" x14ac:dyDescent="0.25">
      <c r="A123" s="65"/>
      <c r="B123" s="65"/>
      <c r="C123" s="65"/>
    </row>
    <row r="124" spans="1:3" x14ac:dyDescent="0.25">
      <c r="A124" s="65"/>
      <c r="B124" s="65"/>
      <c r="C124" s="65"/>
    </row>
    <row r="125" spans="1:3" x14ac:dyDescent="0.25">
      <c r="A125" s="65"/>
      <c r="B125" s="65"/>
      <c r="C125" s="65"/>
    </row>
    <row r="126" spans="1:3" x14ac:dyDescent="0.25">
      <c r="A126" s="65"/>
      <c r="B126" s="65"/>
      <c r="C126" s="65"/>
    </row>
    <row r="127" spans="1:3" x14ac:dyDescent="0.25">
      <c r="A127" s="65"/>
      <c r="B127" s="65"/>
      <c r="C127" s="65"/>
    </row>
    <row r="128" spans="1:3" x14ac:dyDescent="0.25">
      <c r="A128" s="65"/>
      <c r="B128" s="65"/>
      <c r="C128" s="65"/>
    </row>
    <row r="129" spans="1:3" x14ac:dyDescent="0.25">
      <c r="A129" s="65"/>
      <c r="B129" s="65"/>
      <c r="C129" s="65"/>
    </row>
    <row r="130" spans="1:3" x14ac:dyDescent="0.25">
      <c r="A130" s="65"/>
      <c r="B130" s="65"/>
      <c r="C130" s="65"/>
    </row>
    <row r="131" spans="1:3" x14ac:dyDescent="0.25">
      <c r="A131" s="65"/>
      <c r="B131" s="65"/>
      <c r="C131" s="65"/>
    </row>
    <row r="132" spans="1:3" x14ac:dyDescent="0.25">
      <c r="A132" s="65"/>
      <c r="B132" s="65"/>
      <c r="C132" s="65"/>
    </row>
    <row r="133" spans="1:3" x14ac:dyDescent="0.25">
      <c r="A133" s="65"/>
      <c r="B133" s="65"/>
      <c r="C133" s="65"/>
    </row>
    <row r="134" spans="1:3" x14ac:dyDescent="0.25">
      <c r="A134" s="65"/>
      <c r="B134" s="65"/>
      <c r="C134" s="65"/>
    </row>
    <row r="135" spans="1:3" x14ac:dyDescent="0.25">
      <c r="A135" s="65"/>
      <c r="B135" s="65"/>
      <c r="C135" s="65"/>
    </row>
    <row r="136" spans="1:3" x14ac:dyDescent="0.25">
      <c r="A136" s="65"/>
      <c r="B136" s="65"/>
      <c r="C136" s="65"/>
    </row>
    <row r="137" spans="1:3" x14ac:dyDescent="0.25">
      <c r="A137" s="65"/>
      <c r="B137" s="65"/>
      <c r="C137" s="65"/>
    </row>
    <row r="138" spans="1:3" x14ac:dyDescent="0.25">
      <c r="A138" s="65"/>
      <c r="B138" s="65"/>
      <c r="C138" s="65"/>
    </row>
    <row r="139" spans="1:3" x14ac:dyDescent="0.25">
      <c r="A139" s="65"/>
      <c r="B139" s="65"/>
      <c r="C139" s="65"/>
    </row>
    <row r="140" spans="1:3" x14ac:dyDescent="0.25">
      <c r="A140" s="65"/>
      <c r="B140" s="65"/>
      <c r="C140" s="65"/>
    </row>
    <row r="141" spans="1:3" x14ac:dyDescent="0.25">
      <c r="A141" s="65"/>
      <c r="B141" s="65"/>
      <c r="C141" s="65"/>
    </row>
    <row r="142" spans="1:3" x14ac:dyDescent="0.25">
      <c r="A142" s="65"/>
      <c r="B142" s="65"/>
      <c r="C142" s="65"/>
    </row>
    <row r="143" spans="1:3" x14ac:dyDescent="0.25">
      <c r="A143" s="65"/>
      <c r="B143" s="65"/>
      <c r="C143" s="65"/>
    </row>
    <row r="144" spans="1:3" x14ac:dyDescent="0.25">
      <c r="A144" s="65"/>
      <c r="B144" s="65"/>
      <c r="C144" s="65"/>
    </row>
    <row r="145" spans="1:3" x14ac:dyDescent="0.25">
      <c r="A145" s="65"/>
      <c r="B145" s="65"/>
      <c r="C145" s="65"/>
    </row>
    <row r="146" spans="1:3" x14ac:dyDescent="0.25">
      <c r="A146" s="65"/>
      <c r="B146" s="65"/>
      <c r="C146" s="65"/>
    </row>
    <row r="147" spans="1:3" x14ac:dyDescent="0.25">
      <c r="A147" s="65"/>
      <c r="B147" s="65"/>
      <c r="C147" s="65"/>
    </row>
    <row r="148" spans="1:3" x14ac:dyDescent="0.25">
      <c r="A148" s="65"/>
      <c r="B148" s="65"/>
      <c r="C148" s="65"/>
    </row>
    <row r="149" spans="1:3" x14ac:dyDescent="0.25">
      <c r="A149" s="65"/>
      <c r="B149" s="65"/>
      <c r="C149" s="65"/>
    </row>
    <row r="150" spans="1:3" x14ac:dyDescent="0.25">
      <c r="A150" s="65"/>
      <c r="B150" s="65"/>
      <c r="C150" s="65"/>
    </row>
    <row r="151" spans="1:3" x14ac:dyDescent="0.25">
      <c r="A151" s="65"/>
      <c r="B151" s="65"/>
      <c r="C151" s="65"/>
    </row>
    <row r="152" spans="1:3" x14ac:dyDescent="0.25">
      <c r="A152" s="65"/>
      <c r="B152" s="65"/>
      <c r="C152" s="65"/>
    </row>
    <row r="153" spans="1:3" x14ac:dyDescent="0.25">
      <c r="A153" s="65"/>
      <c r="B153" s="65"/>
      <c r="C153" s="65"/>
    </row>
    <row r="154" spans="1:3" x14ac:dyDescent="0.25">
      <c r="A154" s="65"/>
      <c r="B154" s="65"/>
      <c r="C154" s="65"/>
    </row>
    <row r="155" spans="1:3" x14ac:dyDescent="0.25">
      <c r="A155" s="65"/>
      <c r="B155" s="65"/>
      <c r="C155" s="65"/>
    </row>
    <row r="156" spans="1:3" x14ac:dyDescent="0.25">
      <c r="A156" s="65"/>
      <c r="B156" s="65"/>
      <c r="C156" s="65"/>
    </row>
    <row r="157" spans="1:3" x14ac:dyDescent="0.25">
      <c r="A157" s="65"/>
      <c r="B157" s="65"/>
      <c r="C157" s="65"/>
    </row>
    <row r="158" spans="1:3" x14ac:dyDescent="0.25">
      <c r="A158" s="65"/>
      <c r="B158" s="65"/>
      <c r="C158" s="65"/>
    </row>
    <row r="159" spans="1:3" x14ac:dyDescent="0.25">
      <c r="A159" s="65"/>
      <c r="B159" s="65"/>
      <c r="C159" s="65"/>
    </row>
    <row r="160" spans="1:3" x14ac:dyDescent="0.25">
      <c r="A160" s="65"/>
      <c r="B160" s="65"/>
      <c r="C160" s="65"/>
    </row>
    <row r="161" spans="1:3" x14ac:dyDescent="0.25">
      <c r="A161" s="65"/>
      <c r="B161" s="65"/>
      <c r="C161" s="65"/>
    </row>
    <row r="162" spans="1:3" x14ac:dyDescent="0.25">
      <c r="A162" s="65"/>
      <c r="B162" s="65"/>
      <c r="C162" s="65"/>
    </row>
    <row r="163" spans="1:3" x14ac:dyDescent="0.25">
      <c r="A163" s="65"/>
      <c r="B163" s="65"/>
      <c r="C163" s="65"/>
    </row>
    <row r="164" spans="1:3" x14ac:dyDescent="0.25">
      <c r="A164" s="65"/>
      <c r="B164" s="65"/>
      <c r="C164" s="65"/>
    </row>
    <row r="165" spans="1:3" x14ac:dyDescent="0.25">
      <c r="A165" s="65"/>
      <c r="B165" s="65"/>
      <c r="C165" s="65"/>
    </row>
    <row r="166" spans="1:3" x14ac:dyDescent="0.25">
      <c r="A166" s="65"/>
      <c r="B166" s="65"/>
      <c r="C166" s="65"/>
    </row>
    <row r="167" spans="1:3" x14ac:dyDescent="0.25">
      <c r="A167" s="65"/>
      <c r="B167" s="65"/>
      <c r="C167" s="65"/>
    </row>
    <row r="168" spans="1:3" x14ac:dyDescent="0.25">
      <c r="A168" s="65"/>
      <c r="B168" s="65"/>
      <c r="C168" s="65"/>
    </row>
    <row r="169" spans="1:3" x14ac:dyDescent="0.25">
      <c r="A169" s="65"/>
      <c r="B169" s="65"/>
      <c r="C169" s="65"/>
    </row>
    <row r="170" spans="1:3" x14ac:dyDescent="0.25">
      <c r="A170" s="65"/>
      <c r="B170" s="65"/>
      <c r="C170" s="65"/>
    </row>
    <row r="171" spans="1:3" x14ac:dyDescent="0.25">
      <c r="A171" s="65"/>
      <c r="B171" s="65"/>
      <c r="C171" s="65"/>
    </row>
    <row r="172" spans="1:3" x14ac:dyDescent="0.25">
      <c r="A172" s="65"/>
      <c r="B172" s="65"/>
      <c r="C172" s="65"/>
    </row>
    <row r="173" spans="1:3" x14ac:dyDescent="0.25">
      <c r="A173" s="65"/>
      <c r="B173" s="65"/>
      <c r="C173" s="65"/>
    </row>
    <row r="174" spans="1:3" x14ac:dyDescent="0.25">
      <c r="A174" s="65"/>
      <c r="B174" s="65"/>
      <c r="C174" s="65"/>
    </row>
    <row r="175" spans="1:3" x14ac:dyDescent="0.25">
      <c r="A175" s="65"/>
      <c r="B175" s="65"/>
      <c r="C175" s="65"/>
    </row>
    <row r="176" spans="1:3" x14ac:dyDescent="0.25">
      <c r="A176" s="65"/>
      <c r="B176" s="65"/>
      <c r="C176" s="65"/>
    </row>
    <row r="177" spans="1:3" x14ac:dyDescent="0.25">
      <c r="A177" s="65"/>
      <c r="B177" s="65"/>
      <c r="C177" s="65"/>
    </row>
    <row r="178" spans="1:3" x14ac:dyDescent="0.25">
      <c r="A178" s="65"/>
      <c r="B178" s="65"/>
      <c r="C178" s="65"/>
    </row>
    <row r="179" spans="1:3" x14ac:dyDescent="0.25">
      <c r="A179" s="65"/>
      <c r="B179" s="65"/>
      <c r="C179" s="65"/>
    </row>
    <row r="180" spans="1:3" x14ac:dyDescent="0.25">
      <c r="A180" s="65"/>
      <c r="B180" s="65"/>
      <c r="C180" s="65"/>
    </row>
    <row r="181" spans="1:3" x14ac:dyDescent="0.25">
      <c r="A181" s="65"/>
      <c r="B181" s="65"/>
      <c r="C181" s="65"/>
    </row>
    <row r="182" spans="1:3" x14ac:dyDescent="0.25">
      <c r="A182" s="65"/>
      <c r="B182" s="65"/>
      <c r="C182" s="65"/>
    </row>
    <row r="183" spans="1:3" x14ac:dyDescent="0.25">
      <c r="A183" s="65"/>
      <c r="B183" s="65"/>
      <c r="C183" s="65"/>
    </row>
    <row r="184" spans="1:3" x14ac:dyDescent="0.25">
      <c r="A184" s="65"/>
      <c r="B184" s="65"/>
      <c r="C184" s="65"/>
    </row>
    <row r="185" spans="1:3" x14ac:dyDescent="0.25">
      <c r="A185" s="65"/>
      <c r="B185" s="65"/>
      <c r="C185" s="65"/>
    </row>
    <row r="186" spans="1:3" x14ac:dyDescent="0.25">
      <c r="A186" s="65"/>
      <c r="B186" s="65"/>
      <c r="C186" s="65"/>
    </row>
    <row r="187" spans="1:3" x14ac:dyDescent="0.25">
      <c r="A187" s="65"/>
      <c r="B187" s="65"/>
      <c r="C187" s="65"/>
    </row>
    <row r="188" spans="1:3" x14ac:dyDescent="0.25">
      <c r="A188" s="65"/>
      <c r="B188" s="65"/>
      <c r="C188" s="65"/>
    </row>
    <row r="189" spans="1:3" x14ac:dyDescent="0.25">
      <c r="A189" s="65"/>
      <c r="B189" s="65"/>
      <c r="C189" s="65"/>
    </row>
    <row r="190" spans="1:3" x14ac:dyDescent="0.25">
      <c r="A190" s="65"/>
      <c r="B190" s="65"/>
      <c r="C190" s="65"/>
    </row>
    <row r="191" spans="1:3" x14ac:dyDescent="0.25">
      <c r="A191" s="65"/>
      <c r="B191" s="65"/>
      <c r="C191" s="65"/>
    </row>
    <row r="192" spans="1:3" x14ac:dyDescent="0.25">
      <c r="A192" s="65"/>
      <c r="B192" s="65"/>
      <c r="C192" s="65"/>
    </row>
    <row r="193" spans="1:3" x14ac:dyDescent="0.25">
      <c r="A193" s="65"/>
      <c r="B193" s="65"/>
      <c r="C193" s="65"/>
    </row>
    <row r="194" spans="1:3" x14ac:dyDescent="0.25">
      <c r="A194" s="65"/>
      <c r="B194" s="65"/>
      <c r="C194" s="65"/>
    </row>
    <row r="195" spans="1:3" x14ac:dyDescent="0.25">
      <c r="A195" s="65"/>
      <c r="B195" s="65"/>
      <c r="C195" s="65"/>
    </row>
    <row r="196" spans="1:3" x14ac:dyDescent="0.25">
      <c r="A196" s="65"/>
      <c r="B196" s="65"/>
      <c r="C196" s="65"/>
    </row>
    <row r="197" spans="1:3" x14ac:dyDescent="0.25">
      <c r="A197" s="65"/>
      <c r="B197" s="65"/>
      <c r="C197" s="65"/>
    </row>
    <row r="198" spans="1:3" x14ac:dyDescent="0.25">
      <c r="A198" s="65"/>
      <c r="B198" s="65"/>
      <c r="C198" s="65"/>
    </row>
    <row r="199" spans="1:3" x14ac:dyDescent="0.25">
      <c r="A199" s="65"/>
      <c r="B199" s="65"/>
      <c r="C199" s="65"/>
    </row>
    <row r="200" spans="1:3" x14ac:dyDescent="0.25">
      <c r="A200" s="65"/>
      <c r="B200" s="65"/>
      <c r="C200" s="65"/>
    </row>
    <row r="201" spans="1:3" x14ac:dyDescent="0.25">
      <c r="A201" s="65"/>
      <c r="B201" s="65"/>
      <c r="C201" s="65"/>
    </row>
    <row r="202" spans="1:3" x14ac:dyDescent="0.25">
      <c r="A202" s="65"/>
      <c r="B202" s="65"/>
      <c r="C202" s="65"/>
    </row>
    <row r="203" spans="1:3" x14ac:dyDescent="0.25">
      <c r="A203" s="65"/>
      <c r="B203" s="65"/>
      <c r="C203" s="65"/>
    </row>
    <row r="204" spans="1:3" x14ac:dyDescent="0.25">
      <c r="A204" s="65"/>
      <c r="B204" s="65"/>
      <c r="C204" s="65"/>
    </row>
    <row r="205" spans="1:3" x14ac:dyDescent="0.25">
      <c r="A205" s="65"/>
      <c r="B205" s="65"/>
      <c r="C205" s="65"/>
    </row>
    <row r="206" spans="1:3" x14ac:dyDescent="0.25">
      <c r="A206" s="65"/>
      <c r="B206" s="65"/>
      <c r="C206" s="65"/>
    </row>
    <row r="207" spans="1:3" x14ac:dyDescent="0.25">
      <c r="A207" s="65"/>
      <c r="B207" s="65"/>
      <c r="C207" s="65"/>
    </row>
    <row r="208" spans="1:3" x14ac:dyDescent="0.25">
      <c r="A208" s="65"/>
      <c r="B208" s="65"/>
      <c r="C208" s="65"/>
    </row>
    <row r="209" spans="1:3" x14ac:dyDescent="0.25">
      <c r="A209" s="65"/>
      <c r="B209" s="65"/>
      <c r="C209" s="65"/>
    </row>
    <row r="210" spans="1:3" x14ac:dyDescent="0.25">
      <c r="A210" s="65"/>
      <c r="B210" s="65"/>
      <c r="C210" s="65"/>
    </row>
    <row r="211" spans="1:3" x14ac:dyDescent="0.25">
      <c r="A211" s="65"/>
      <c r="B211" s="65"/>
      <c r="C211" s="65"/>
    </row>
    <row r="212" spans="1:3" x14ac:dyDescent="0.25">
      <c r="A212" s="65"/>
      <c r="B212" s="65"/>
      <c r="C212" s="65"/>
    </row>
    <row r="213" spans="1:3" x14ac:dyDescent="0.25">
      <c r="A213" s="65"/>
      <c r="B213" s="65"/>
      <c r="C213" s="65"/>
    </row>
    <row r="214" spans="1:3" x14ac:dyDescent="0.25">
      <c r="A214" s="65"/>
      <c r="B214" s="65"/>
      <c r="C214" s="65"/>
    </row>
    <row r="215" spans="1:3" x14ac:dyDescent="0.25">
      <c r="A215" s="65"/>
      <c r="B215" s="65"/>
      <c r="C215" s="65"/>
    </row>
    <row r="216" spans="1:3" x14ac:dyDescent="0.25">
      <c r="A216" s="65"/>
      <c r="B216" s="65"/>
      <c r="C216" s="65"/>
    </row>
    <row r="217" spans="1:3" x14ac:dyDescent="0.25">
      <c r="A217" s="65"/>
      <c r="B217" s="65"/>
      <c r="C217" s="65"/>
    </row>
    <row r="218" spans="1:3" x14ac:dyDescent="0.25">
      <c r="A218" s="65"/>
      <c r="B218" s="65"/>
      <c r="C218" s="65"/>
    </row>
    <row r="219" spans="1:3" x14ac:dyDescent="0.25">
      <c r="A219" s="65"/>
      <c r="B219" s="65"/>
      <c r="C219" s="65"/>
    </row>
    <row r="220" spans="1:3" x14ac:dyDescent="0.25">
      <c r="A220" s="65"/>
      <c r="B220" s="65"/>
      <c r="C220" s="65"/>
    </row>
    <row r="221" spans="1:3" x14ac:dyDescent="0.25">
      <c r="A221" s="65"/>
      <c r="B221" s="65"/>
      <c r="C221" s="65"/>
    </row>
    <row r="222" spans="1:3" x14ac:dyDescent="0.25">
      <c r="A222" s="65"/>
      <c r="B222" s="65"/>
      <c r="C222" s="65"/>
    </row>
    <row r="223" spans="1:3" x14ac:dyDescent="0.25">
      <c r="A223" s="65"/>
      <c r="B223" s="65"/>
      <c r="C223" s="65"/>
    </row>
    <row r="224" spans="1:3" x14ac:dyDescent="0.25">
      <c r="A224" s="65"/>
      <c r="B224" s="65"/>
      <c r="C224" s="65"/>
    </row>
    <row r="225" spans="1:3" x14ac:dyDescent="0.25">
      <c r="A225" s="65"/>
      <c r="B225" s="65"/>
      <c r="C225" s="65"/>
    </row>
    <row r="226" spans="1:3" x14ac:dyDescent="0.25">
      <c r="A226" s="65"/>
      <c r="B226" s="65"/>
      <c r="C226" s="65"/>
    </row>
    <row r="227" spans="1:3" x14ac:dyDescent="0.25">
      <c r="A227" s="65"/>
      <c r="B227" s="65"/>
      <c r="C227" s="65"/>
    </row>
    <row r="228" spans="1:3" x14ac:dyDescent="0.25">
      <c r="A228" s="65"/>
      <c r="B228" s="65"/>
      <c r="C228" s="65"/>
    </row>
    <row r="229" spans="1:3" x14ac:dyDescent="0.25">
      <c r="A229" s="65"/>
      <c r="B229" s="65"/>
      <c r="C229" s="65"/>
    </row>
    <row r="230" spans="1:3" x14ac:dyDescent="0.25">
      <c r="A230" s="65"/>
      <c r="B230" s="65"/>
      <c r="C230" s="65"/>
    </row>
    <row r="231" spans="1:3" x14ac:dyDescent="0.25">
      <c r="A231" s="65"/>
      <c r="B231" s="65"/>
      <c r="C231" s="65"/>
    </row>
    <row r="232" spans="1:3" x14ac:dyDescent="0.25">
      <c r="A232" s="65"/>
      <c r="B232" s="65"/>
      <c r="C232" s="65"/>
    </row>
    <row r="233" spans="1:3" x14ac:dyDescent="0.25">
      <c r="A233" s="65"/>
      <c r="B233" s="65"/>
      <c r="C233" s="65"/>
    </row>
    <row r="234" spans="1:3" x14ac:dyDescent="0.25">
      <c r="A234" s="65"/>
      <c r="B234" s="65"/>
      <c r="C234" s="65"/>
    </row>
    <row r="235" spans="1:3" x14ac:dyDescent="0.25">
      <c r="A235" s="65"/>
      <c r="B235" s="65"/>
      <c r="C235" s="65"/>
    </row>
    <row r="236" spans="1:3" x14ac:dyDescent="0.25">
      <c r="A236" s="65"/>
      <c r="B236" s="65"/>
      <c r="C236" s="65"/>
    </row>
    <row r="237" spans="1:3" x14ac:dyDescent="0.25">
      <c r="A237" s="65"/>
      <c r="B237" s="65"/>
      <c r="C237" s="65"/>
    </row>
    <row r="238" spans="1:3" x14ac:dyDescent="0.25">
      <c r="A238" s="65"/>
      <c r="B238" s="65"/>
      <c r="C238" s="65"/>
    </row>
    <row r="239" spans="1:3" x14ac:dyDescent="0.25">
      <c r="A239" s="65"/>
      <c r="B239" s="65"/>
      <c r="C239" s="65"/>
    </row>
    <row r="240" spans="1:3" x14ac:dyDescent="0.25">
      <c r="A240" s="65"/>
      <c r="B240" s="65"/>
      <c r="C240" s="65"/>
    </row>
    <row r="241" spans="1:3" x14ac:dyDescent="0.25">
      <c r="A241" s="65"/>
      <c r="B241" s="65"/>
      <c r="C241" s="65"/>
    </row>
    <row r="242" spans="1:3" x14ac:dyDescent="0.25">
      <c r="A242" s="65"/>
      <c r="B242" s="65"/>
      <c r="C242" s="65"/>
    </row>
    <row r="243" spans="1:3" x14ac:dyDescent="0.25">
      <c r="A243" s="65"/>
      <c r="B243" s="65"/>
      <c r="C243" s="65"/>
    </row>
    <row r="244" spans="1:3" x14ac:dyDescent="0.25">
      <c r="A244" s="65"/>
      <c r="B244" s="65"/>
      <c r="C244" s="65"/>
    </row>
    <row r="245" spans="1:3" x14ac:dyDescent="0.25">
      <c r="A245" s="65"/>
      <c r="B245" s="65"/>
      <c r="C245" s="65"/>
    </row>
    <row r="246" spans="1:3" x14ac:dyDescent="0.25">
      <c r="A246" s="65"/>
      <c r="B246" s="65"/>
      <c r="C246" s="65"/>
    </row>
    <row r="247" spans="1:3" x14ac:dyDescent="0.25">
      <c r="A247" s="65"/>
      <c r="B247" s="65"/>
      <c r="C247" s="65"/>
    </row>
    <row r="248" spans="1:3" x14ac:dyDescent="0.25">
      <c r="A248" s="65"/>
      <c r="B248" s="65"/>
      <c r="C248" s="65"/>
    </row>
    <row r="249" spans="1:3" x14ac:dyDescent="0.25">
      <c r="A249" s="65"/>
      <c r="B249" s="65"/>
      <c r="C249" s="65"/>
    </row>
    <row r="250" spans="1:3" x14ac:dyDescent="0.25">
      <c r="A250" s="65"/>
      <c r="B250" s="65"/>
      <c r="C250" s="65"/>
    </row>
    <row r="251" spans="1:3" x14ac:dyDescent="0.25">
      <c r="A251" s="65"/>
      <c r="B251" s="65"/>
      <c r="C251" s="65"/>
    </row>
    <row r="252" spans="1:3" x14ac:dyDescent="0.25">
      <c r="A252" s="65"/>
      <c r="B252" s="65"/>
      <c r="C252" s="65"/>
    </row>
    <row r="253" spans="1:3" x14ac:dyDescent="0.25">
      <c r="A253" s="65"/>
      <c r="B253" s="65"/>
      <c r="C253" s="65"/>
    </row>
    <row r="254" spans="1:3" x14ac:dyDescent="0.25">
      <c r="A254" s="65"/>
      <c r="B254" s="65"/>
      <c r="C254" s="65"/>
    </row>
    <row r="255" spans="1:3" x14ac:dyDescent="0.25">
      <c r="A255" s="65"/>
      <c r="B255" s="65"/>
      <c r="C255" s="65"/>
    </row>
    <row r="256" spans="1:3" x14ac:dyDescent="0.25">
      <c r="A256" s="65"/>
      <c r="B256" s="65"/>
      <c r="C256" s="65"/>
    </row>
    <row r="257" spans="1:3" x14ac:dyDescent="0.25">
      <c r="A257" s="65"/>
      <c r="B257" s="65"/>
      <c r="C257" s="65"/>
    </row>
    <row r="258" spans="1:3" x14ac:dyDescent="0.25">
      <c r="A258" s="65"/>
      <c r="B258" s="65"/>
      <c r="C258" s="65"/>
    </row>
    <row r="259" spans="1:3" x14ac:dyDescent="0.25">
      <c r="A259" s="65"/>
      <c r="B259" s="65"/>
      <c r="C259" s="65"/>
    </row>
    <row r="260" spans="1:3" x14ac:dyDescent="0.25">
      <c r="A260" s="65"/>
      <c r="B260" s="65"/>
      <c r="C260" s="65"/>
    </row>
    <row r="261" spans="1:3" x14ac:dyDescent="0.25">
      <c r="A261" s="65"/>
      <c r="B261" s="65"/>
      <c r="C261" s="65"/>
    </row>
    <row r="262" spans="1:3" x14ac:dyDescent="0.25">
      <c r="A262" s="65"/>
      <c r="B262" s="65"/>
      <c r="C262" s="65"/>
    </row>
    <row r="263" spans="1:3" x14ac:dyDescent="0.25">
      <c r="A263" s="65"/>
      <c r="B263" s="65"/>
      <c r="C263" s="65"/>
    </row>
    <row r="264" spans="1:3" x14ac:dyDescent="0.25">
      <c r="A264" s="65"/>
      <c r="B264" s="65"/>
      <c r="C264" s="65"/>
    </row>
    <row r="265" spans="1:3" x14ac:dyDescent="0.25">
      <c r="A265" s="65"/>
      <c r="B265" s="65"/>
      <c r="C265" s="65"/>
    </row>
    <row r="266" spans="1:3" x14ac:dyDescent="0.25">
      <c r="A266" s="65"/>
      <c r="B266" s="65"/>
      <c r="C266" s="65"/>
    </row>
    <row r="267" spans="1:3" x14ac:dyDescent="0.25">
      <c r="A267" s="65"/>
      <c r="B267" s="65"/>
      <c r="C267" s="65"/>
    </row>
    <row r="268" spans="1:3" x14ac:dyDescent="0.25">
      <c r="A268" s="65"/>
      <c r="B268" s="65"/>
      <c r="C268" s="65"/>
    </row>
    <row r="269" spans="1:3" x14ac:dyDescent="0.25">
      <c r="A269" s="65"/>
      <c r="B269" s="65"/>
      <c r="C269" s="65"/>
    </row>
    <row r="270" spans="1:3" x14ac:dyDescent="0.25">
      <c r="A270" s="65"/>
      <c r="B270" s="65"/>
      <c r="C270" s="65"/>
    </row>
    <row r="271" spans="1:3" x14ac:dyDescent="0.25">
      <c r="A271" s="65"/>
      <c r="B271" s="65"/>
      <c r="C271" s="65"/>
    </row>
    <row r="272" spans="1:3" x14ac:dyDescent="0.25">
      <c r="A272" s="65"/>
      <c r="B272" s="65"/>
      <c r="C272" s="65"/>
    </row>
    <row r="273" spans="1:3" x14ac:dyDescent="0.25">
      <c r="A273" s="65"/>
      <c r="B273" s="65"/>
      <c r="C273" s="65"/>
    </row>
    <row r="274" spans="1:3" x14ac:dyDescent="0.25">
      <c r="A274" s="65"/>
      <c r="B274" s="65"/>
      <c r="C274" s="65"/>
    </row>
    <row r="275" spans="1:3" x14ac:dyDescent="0.25">
      <c r="A275" s="65"/>
      <c r="B275" s="65"/>
      <c r="C275" s="65"/>
    </row>
    <row r="276" spans="1:3" x14ac:dyDescent="0.25">
      <c r="A276" s="65"/>
      <c r="B276" s="65"/>
      <c r="C276" s="65"/>
    </row>
    <row r="277" spans="1:3" x14ac:dyDescent="0.25">
      <c r="A277" s="65"/>
      <c r="B277" s="65"/>
      <c r="C277" s="65"/>
    </row>
    <row r="278" spans="1:3" x14ac:dyDescent="0.25">
      <c r="A278" s="65"/>
      <c r="B278" s="65"/>
      <c r="C278" s="65"/>
    </row>
    <row r="279" spans="1:3" x14ac:dyDescent="0.25">
      <c r="A279" s="65"/>
      <c r="B279" s="65"/>
      <c r="C279" s="65"/>
    </row>
    <row r="280" spans="1:3" x14ac:dyDescent="0.25">
      <c r="A280" s="65"/>
      <c r="B280" s="65"/>
      <c r="C280" s="65"/>
    </row>
    <row r="281" spans="1:3" x14ac:dyDescent="0.25">
      <c r="A281" s="65"/>
      <c r="B281" s="65"/>
      <c r="C281" s="65"/>
    </row>
    <row r="282" spans="1:3" x14ac:dyDescent="0.25">
      <c r="A282" s="65"/>
      <c r="B282" s="65"/>
      <c r="C282" s="65"/>
    </row>
    <row r="283" spans="1:3" x14ac:dyDescent="0.25">
      <c r="A283" s="65"/>
      <c r="B283" s="65"/>
      <c r="C283" s="65"/>
    </row>
    <row r="284" spans="1:3" x14ac:dyDescent="0.25">
      <c r="A284" s="65"/>
      <c r="B284" s="65"/>
      <c r="C284" s="65"/>
    </row>
    <row r="285" spans="1:3" x14ac:dyDescent="0.25">
      <c r="A285" s="65"/>
      <c r="B285" s="65"/>
      <c r="C285" s="65"/>
    </row>
    <row r="286" spans="1:3" x14ac:dyDescent="0.25">
      <c r="A286" s="65"/>
      <c r="B286" s="65"/>
      <c r="C286" s="65"/>
    </row>
    <row r="287" spans="1:3" x14ac:dyDescent="0.25">
      <c r="A287" s="65"/>
      <c r="B287" s="65"/>
      <c r="C287" s="65"/>
    </row>
    <row r="288" spans="1:3" x14ac:dyDescent="0.25">
      <c r="A288" s="65"/>
      <c r="B288" s="65"/>
      <c r="C288" s="65"/>
    </row>
    <row r="289" spans="1:3" x14ac:dyDescent="0.25">
      <c r="A289" s="65"/>
      <c r="B289" s="65"/>
      <c r="C289" s="65"/>
    </row>
    <row r="290" spans="1:3" x14ac:dyDescent="0.25">
      <c r="A290" s="65"/>
      <c r="B290" s="65"/>
      <c r="C290" s="65"/>
    </row>
    <row r="291" spans="1:3" x14ac:dyDescent="0.25">
      <c r="A291" s="65"/>
      <c r="B291" s="65"/>
      <c r="C291" s="65"/>
    </row>
    <row r="292" spans="1:3" x14ac:dyDescent="0.25">
      <c r="A292" s="65"/>
      <c r="B292" s="65"/>
      <c r="C292" s="65"/>
    </row>
    <row r="293" spans="1:3" x14ac:dyDescent="0.25">
      <c r="A293" s="65"/>
      <c r="B293" s="65"/>
      <c r="C293" s="65"/>
    </row>
    <row r="294" spans="1:3" x14ac:dyDescent="0.25">
      <c r="A294" s="65"/>
      <c r="B294" s="65"/>
      <c r="C294" s="65"/>
    </row>
    <row r="295" spans="1:3" x14ac:dyDescent="0.25">
      <c r="A295" s="65"/>
      <c r="B295" s="65"/>
      <c r="C295" s="65"/>
    </row>
    <row r="296" spans="1:3" x14ac:dyDescent="0.25">
      <c r="A296" s="65"/>
      <c r="B296" s="65"/>
      <c r="C296" s="65"/>
    </row>
    <row r="297" spans="1:3" x14ac:dyDescent="0.25">
      <c r="A297" s="65"/>
      <c r="B297" s="65"/>
      <c r="C297" s="65"/>
    </row>
    <row r="298" spans="1:3" x14ac:dyDescent="0.25">
      <c r="A298" s="65"/>
      <c r="B298" s="65"/>
      <c r="C298" s="65"/>
    </row>
    <row r="299" spans="1:3" x14ac:dyDescent="0.25">
      <c r="A299" s="65"/>
      <c r="B299" s="65"/>
      <c r="C299" s="65"/>
    </row>
    <row r="300" spans="1:3" x14ac:dyDescent="0.25">
      <c r="A300" s="65"/>
      <c r="B300" s="65"/>
      <c r="C300" s="65"/>
    </row>
    <row r="301" spans="1:3" x14ac:dyDescent="0.25">
      <c r="A301" s="65"/>
      <c r="B301" s="65"/>
      <c r="C301" s="65"/>
    </row>
    <row r="302" spans="1:3" x14ac:dyDescent="0.25">
      <c r="A302" s="65"/>
      <c r="B302" s="65"/>
      <c r="C302" s="65"/>
    </row>
    <row r="303" spans="1:3" x14ac:dyDescent="0.25">
      <c r="A303" s="65"/>
      <c r="B303" s="65"/>
      <c r="C303" s="65"/>
    </row>
    <row r="304" spans="1:3" x14ac:dyDescent="0.25">
      <c r="A304" s="65"/>
      <c r="B304" s="65"/>
      <c r="C304" s="65"/>
    </row>
    <row r="305" spans="1:3" x14ac:dyDescent="0.25">
      <c r="A305" s="65"/>
      <c r="B305" s="65"/>
      <c r="C305" s="65"/>
    </row>
    <row r="306" spans="1:3" x14ac:dyDescent="0.25">
      <c r="A306" s="65"/>
      <c r="B306" s="65"/>
      <c r="C306" s="65"/>
    </row>
    <row r="307" spans="1:3" x14ac:dyDescent="0.25">
      <c r="A307" s="65"/>
      <c r="B307" s="65"/>
      <c r="C307" s="65"/>
    </row>
    <row r="308" spans="1:3" x14ac:dyDescent="0.25">
      <c r="A308" s="65"/>
      <c r="B308" s="65"/>
      <c r="C308" s="65"/>
    </row>
    <row r="309" spans="1:3" x14ac:dyDescent="0.25">
      <c r="A309" s="65"/>
      <c r="B309" s="65"/>
      <c r="C309" s="65"/>
    </row>
    <row r="310" spans="1:3" x14ac:dyDescent="0.25">
      <c r="A310" s="65"/>
      <c r="B310" s="65"/>
      <c r="C310" s="65"/>
    </row>
    <row r="311" spans="1:3" x14ac:dyDescent="0.25">
      <c r="A311" s="65"/>
      <c r="B311" s="65"/>
      <c r="C311" s="65"/>
    </row>
    <row r="312" spans="1:3" x14ac:dyDescent="0.25">
      <c r="A312" s="65"/>
      <c r="B312" s="65"/>
      <c r="C312" s="65"/>
    </row>
    <row r="313" spans="1:3" x14ac:dyDescent="0.25">
      <c r="A313" s="65"/>
      <c r="B313" s="65"/>
      <c r="C313" s="65"/>
    </row>
    <row r="314" spans="1:3" x14ac:dyDescent="0.25">
      <c r="A314" s="65"/>
      <c r="B314" s="65"/>
      <c r="C314" s="65"/>
    </row>
    <row r="315" spans="1:3" x14ac:dyDescent="0.25">
      <c r="A315" s="65"/>
      <c r="B315" s="65"/>
      <c r="C315" s="65"/>
    </row>
    <row r="316" spans="1:3" x14ac:dyDescent="0.25">
      <c r="A316" s="65"/>
      <c r="B316" s="65"/>
      <c r="C316" s="65"/>
    </row>
    <row r="317" spans="1:3" x14ac:dyDescent="0.25">
      <c r="A317" s="65"/>
      <c r="B317" s="65"/>
      <c r="C317" s="65"/>
    </row>
    <row r="318" spans="1:3" x14ac:dyDescent="0.25">
      <c r="A318" s="65"/>
      <c r="B318" s="65"/>
      <c r="C318" s="65"/>
    </row>
    <row r="319" spans="1:3" x14ac:dyDescent="0.25">
      <c r="A319" s="65"/>
      <c r="B319" s="65"/>
      <c r="C319" s="65"/>
    </row>
    <row r="320" spans="1:3" x14ac:dyDescent="0.25">
      <c r="A320" s="65"/>
      <c r="B320" s="65"/>
      <c r="C320" s="65"/>
    </row>
    <row r="321" spans="1:3" x14ac:dyDescent="0.25">
      <c r="A321" s="65"/>
      <c r="B321" s="65"/>
      <c r="C321" s="65"/>
    </row>
    <row r="322" spans="1:3" x14ac:dyDescent="0.25">
      <c r="A322" s="65"/>
      <c r="B322" s="65"/>
      <c r="C322" s="65"/>
    </row>
    <row r="323" spans="1:3" x14ac:dyDescent="0.25">
      <c r="A323" s="65"/>
      <c r="B323" s="65"/>
      <c r="C323" s="65"/>
    </row>
    <row r="324" spans="1:3" x14ac:dyDescent="0.25">
      <c r="A324" s="65"/>
      <c r="B324" s="65"/>
      <c r="C324" s="65"/>
    </row>
    <row r="325" spans="1:3" x14ac:dyDescent="0.25">
      <c r="A325" s="65"/>
      <c r="B325" s="65"/>
      <c r="C325" s="65"/>
    </row>
    <row r="326" spans="1:3" x14ac:dyDescent="0.25">
      <c r="A326" s="65"/>
      <c r="B326" s="65"/>
      <c r="C326" s="65"/>
    </row>
    <row r="327" spans="1:3" x14ac:dyDescent="0.25">
      <c r="A327" s="65"/>
      <c r="B327" s="65"/>
      <c r="C327" s="65"/>
    </row>
    <row r="328" spans="1:3" x14ac:dyDescent="0.25">
      <c r="A328" s="65"/>
      <c r="B328" s="65"/>
      <c r="C328" s="65"/>
    </row>
    <row r="329" spans="1:3" x14ac:dyDescent="0.25">
      <c r="A329" s="65"/>
      <c r="B329" s="65"/>
      <c r="C329" s="65"/>
    </row>
    <row r="330" spans="1:3" x14ac:dyDescent="0.25">
      <c r="A330" s="65"/>
      <c r="B330" s="65"/>
      <c r="C330" s="65"/>
    </row>
    <row r="331" spans="1:3" x14ac:dyDescent="0.25">
      <c r="A331" s="65"/>
      <c r="B331" s="65"/>
      <c r="C331" s="65"/>
    </row>
    <row r="332" spans="1:3" x14ac:dyDescent="0.25">
      <c r="A332" s="65"/>
      <c r="B332" s="65"/>
      <c r="C332" s="65"/>
    </row>
    <row r="333" spans="1:3" x14ac:dyDescent="0.25">
      <c r="A333" s="65"/>
      <c r="B333" s="65"/>
      <c r="C333" s="65"/>
    </row>
    <row r="334" spans="1:3" x14ac:dyDescent="0.25">
      <c r="A334" s="65"/>
      <c r="B334" s="65"/>
      <c r="C334" s="65"/>
    </row>
    <row r="335" spans="1:3" x14ac:dyDescent="0.25">
      <c r="A335" s="65"/>
      <c r="B335" s="65"/>
      <c r="C335" s="65"/>
    </row>
    <row r="336" spans="1:3" x14ac:dyDescent="0.25">
      <c r="A336" s="65"/>
      <c r="B336" s="65"/>
      <c r="C336" s="65"/>
    </row>
    <row r="337" spans="1:3" x14ac:dyDescent="0.25">
      <c r="A337" s="65"/>
      <c r="B337" s="65"/>
      <c r="C337" s="65"/>
    </row>
    <row r="338" spans="1:3" x14ac:dyDescent="0.25">
      <c r="A338" s="65"/>
      <c r="B338" s="65"/>
      <c r="C338" s="65"/>
    </row>
    <row r="339" spans="1:3" x14ac:dyDescent="0.25">
      <c r="A339" s="65"/>
      <c r="B339" s="65"/>
      <c r="C339" s="65"/>
    </row>
    <row r="340" spans="1:3" x14ac:dyDescent="0.25">
      <c r="A340" s="65"/>
      <c r="B340" s="65"/>
      <c r="C340" s="65"/>
    </row>
    <row r="341" spans="1:3" x14ac:dyDescent="0.25">
      <c r="A341" s="65"/>
      <c r="B341" s="65"/>
      <c r="C341" s="65"/>
    </row>
    <row r="342" spans="1:3" x14ac:dyDescent="0.25">
      <c r="A342" s="65"/>
      <c r="B342" s="65"/>
      <c r="C342" s="65"/>
    </row>
    <row r="343" spans="1:3" x14ac:dyDescent="0.25">
      <c r="A343" s="65"/>
      <c r="B343" s="65"/>
      <c r="C343" s="65"/>
    </row>
    <row r="344" spans="1:3" x14ac:dyDescent="0.25">
      <c r="A344" s="65"/>
      <c r="B344" s="65"/>
      <c r="C344" s="65"/>
    </row>
    <row r="345" spans="1:3" x14ac:dyDescent="0.25">
      <c r="A345" s="65"/>
      <c r="B345" s="65"/>
      <c r="C345" s="65"/>
    </row>
    <row r="346" spans="1:3" x14ac:dyDescent="0.25">
      <c r="A346" s="65"/>
      <c r="B346" s="65"/>
      <c r="C346" s="65"/>
    </row>
    <row r="347" spans="1:3" x14ac:dyDescent="0.25">
      <c r="A347" s="65"/>
      <c r="B347" s="65"/>
      <c r="C347" s="65"/>
    </row>
    <row r="348" spans="1:3" x14ac:dyDescent="0.25">
      <c r="A348" s="65"/>
      <c r="B348" s="65"/>
      <c r="C348" s="65"/>
    </row>
    <row r="349" spans="1:3" x14ac:dyDescent="0.25">
      <c r="A349" s="65"/>
      <c r="B349" s="65"/>
      <c r="C349" s="65"/>
    </row>
    <row r="350" spans="1:3" x14ac:dyDescent="0.25">
      <c r="A350" s="65"/>
      <c r="B350" s="65"/>
      <c r="C350" s="65"/>
    </row>
    <row r="351" spans="1:3" x14ac:dyDescent="0.25">
      <c r="A351" s="65"/>
      <c r="B351" s="65"/>
      <c r="C351" s="65"/>
    </row>
    <row r="352" spans="1:3" x14ac:dyDescent="0.25">
      <c r="A352" s="65"/>
      <c r="B352" s="65"/>
      <c r="C352" s="65"/>
    </row>
    <row r="353" spans="1:3" x14ac:dyDescent="0.25">
      <c r="A353" s="65"/>
      <c r="B353" s="65"/>
      <c r="C353" s="65"/>
    </row>
    <row r="354" spans="1:3" x14ac:dyDescent="0.25">
      <c r="A354" s="65"/>
      <c r="B354" s="65"/>
      <c r="C354" s="65"/>
    </row>
    <row r="355" spans="1:3" x14ac:dyDescent="0.25">
      <c r="A355" s="65"/>
      <c r="B355" s="65"/>
      <c r="C355" s="65"/>
    </row>
    <row r="356" spans="1:3" x14ac:dyDescent="0.25">
      <c r="A356" s="65"/>
      <c r="B356" s="65"/>
      <c r="C356" s="65"/>
    </row>
    <row r="357" spans="1:3" x14ac:dyDescent="0.25">
      <c r="A357" s="65"/>
      <c r="B357" s="65"/>
      <c r="C357" s="65"/>
    </row>
    <row r="358" spans="1:3" x14ac:dyDescent="0.25">
      <c r="A358" s="65"/>
      <c r="B358" s="65"/>
      <c r="C358" s="65"/>
    </row>
    <row r="359" spans="1:3" x14ac:dyDescent="0.25">
      <c r="A359" s="65"/>
      <c r="B359" s="65"/>
      <c r="C359" s="65"/>
    </row>
    <row r="360" spans="1:3" x14ac:dyDescent="0.25">
      <c r="A360" s="65"/>
      <c r="B360" s="65"/>
      <c r="C360" s="65"/>
    </row>
    <row r="361" spans="1:3" x14ac:dyDescent="0.25">
      <c r="A361" s="65"/>
      <c r="B361" s="65"/>
      <c r="C361" s="65"/>
    </row>
    <row r="362" spans="1:3" x14ac:dyDescent="0.25">
      <c r="A362" s="65"/>
      <c r="B362" s="65"/>
      <c r="C362" s="65"/>
    </row>
    <row r="363" spans="1:3" x14ac:dyDescent="0.25">
      <c r="A363" s="65"/>
      <c r="B363" s="65"/>
      <c r="C363" s="65"/>
    </row>
    <row r="364" spans="1:3" x14ac:dyDescent="0.25">
      <c r="A364" s="65"/>
      <c r="B364" s="65"/>
      <c r="C364" s="65"/>
    </row>
    <row r="365" spans="1:3" x14ac:dyDescent="0.25">
      <c r="A365" s="65"/>
      <c r="B365" s="65"/>
      <c r="C365" s="65"/>
    </row>
    <row r="366" spans="1:3" x14ac:dyDescent="0.25">
      <c r="A366" s="65"/>
      <c r="B366" s="65"/>
      <c r="C366" s="65"/>
    </row>
    <row r="367" spans="1:3" x14ac:dyDescent="0.25">
      <c r="A367" s="65"/>
      <c r="B367" s="65"/>
      <c r="C367" s="65"/>
    </row>
    <row r="368" spans="1:3" x14ac:dyDescent="0.25">
      <c r="A368" s="65"/>
      <c r="B368" s="65"/>
      <c r="C368" s="65"/>
    </row>
    <row r="369" spans="1:3" x14ac:dyDescent="0.25">
      <c r="A369" s="65"/>
      <c r="B369" s="65"/>
      <c r="C369" s="65"/>
    </row>
    <row r="370" spans="1:3" x14ac:dyDescent="0.25">
      <c r="A370" s="65"/>
      <c r="B370" s="65"/>
      <c r="C370" s="65"/>
    </row>
    <row r="371" spans="1:3" x14ac:dyDescent="0.25">
      <c r="A371" s="65"/>
      <c r="B371" s="65"/>
      <c r="C371" s="65"/>
    </row>
    <row r="372" spans="1:3" x14ac:dyDescent="0.25">
      <c r="A372" s="65"/>
      <c r="B372" s="65"/>
      <c r="C372" s="65"/>
    </row>
    <row r="373" spans="1:3" x14ac:dyDescent="0.25">
      <c r="A373" s="65"/>
      <c r="B373" s="65"/>
      <c r="C373" s="65"/>
    </row>
    <row r="374" spans="1:3" x14ac:dyDescent="0.25">
      <c r="A374" s="65"/>
      <c r="B374" s="65"/>
      <c r="C374" s="65"/>
    </row>
    <row r="375" spans="1:3" x14ac:dyDescent="0.25">
      <c r="A375" s="65"/>
      <c r="B375" s="65"/>
      <c r="C375" s="65"/>
    </row>
    <row r="376" spans="1:3" x14ac:dyDescent="0.25">
      <c r="A376" s="65"/>
      <c r="B376" s="65"/>
      <c r="C376" s="65"/>
    </row>
    <row r="377" spans="1:3" x14ac:dyDescent="0.25">
      <c r="A377" s="65"/>
      <c r="B377" s="65"/>
      <c r="C377" s="65"/>
    </row>
    <row r="378" spans="1:3" x14ac:dyDescent="0.25">
      <c r="A378" s="65"/>
      <c r="B378" s="65"/>
      <c r="C378" s="65"/>
    </row>
    <row r="379" spans="1:3" x14ac:dyDescent="0.25">
      <c r="A379" s="65"/>
      <c r="B379" s="65"/>
      <c r="C379" s="65"/>
    </row>
    <row r="380" spans="1:3" x14ac:dyDescent="0.25">
      <c r="A380" s="65"/>
      <c r="B380" s="65"/>
      <c r="C380" s="65"/>
    </row>
    <row r="381" spans="1:3" x14ac:dyDescent="0.25">
      <c r="A381" s="65"/>
      <c r="B381" s="65"/>
      <c r="C381" s="65"/>
    </row>
    <row r="382" spans="1:3" x14ac:dyDescent="0.25">
      <c r="A382" s="65"/>
      <c r="B382" s="65"/>
      <c r="C382" s="6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8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M40" sqref="M40"/>
    </sheetView>
  </sheetViews>
  <sheetFormatPr defaultRowHeight="15" x14ac:dyDescent="0.25"/>
  <cols>
    <col min="1" max="1" width="17.7109375" style="60" customWidth="1"/>
    <col min="2" max="2" width="30.140625" style="60" customWidth="1"/>
    <col min="3" max="3" width="12.28515625" style="60" customWidth="1"/>
    <col min="4" max="5" width="15" style="60" customWidth="1"/>
    <col min="6" max="7" width="13.28515625" style="60" customWidth="1"/>
    <col min="8" max="8" width="12.28515625" style="60" customWidth="1"/>
    <col min="9" max="9" width="17.85546875" style="60" customWidth="1"/>
    <col min="10" max="10" width="16.7109375" style="60" customWidth="1"/>
    <col min="11" max="11" width="24.5703125" style="60" customWidth="1"/>
    <col min="12" max="12" width="30.85546875" style="60" customWidth="1"/>
    <col min="13" max="13" width="27.140625" style="60" customWidth="1"/>
    <col min="14" max="14" width="32.42578125" style="60" customWidth="1"/>
    <col min="15" max="15" width="13.28515625" style="60" hidden="1" customWidth="1"/>
    <col min="16" max="16" width="8.7109375" style="60" hidden="1" customWidth="1"/>
    <col min="17" max="17" width="12.7109375" style="60" hidden="1" customWidth="1"/>
    <col min="18" max="18" width="0" style="60" hidden="1" customWidth="1"/>
    <col min="19" max="19" width="17" style="60" hidden="1" customWidth="1"/>
    <col min="20" max="21" width="12" style="60" hidden="1" customWidth="1"/>
    <col min="22" max="22" width="11" style="60" hidden="1" customWidth="1"/>
    <col min="23" max="25" width="17.7109375" style="60" hidden="1" customWidth="1"/>
    <col min="26" max="26" width="46.5703125" style="60" hidden="1" customWidth="1"/>
    <col min="27" max="28" width="12.28515625" style="60" customWidth="1"/>
    <col min="29" max="16384" width="9.140625" style="60"/>
  </cols>
  <sheetData>
    <row r="1" spans="1:28" ht="18.75" x14ac:dyDescent="0.25">
      <c r="Z1" s="34" t="s">
        <v>58</v>
      </c>
    </row>
    <row r="2" spans="1:28" ht="18.75" x14ac:dyDescent="0.3">
      <c r="Z2" s="35" t="s">
        <v>7</v>
      </c>
    </row>
    <row r="3" spans="1:28" ht="18.75" x14ac:dyDescent="0.3">
      <c r="Z3" s="35" t="s">
        <v>57</v>
      </c>
    </row>
    <row r="4" spans="1:28" s="2" customFormat="1" ht="15.75" x14ac:dyDescent="0.2">
      <c r="A4" s="224" t="str">
        <f>'1. паспорт местоположение'!$A$5</f>
        <v>Год раскрытия информации: 2019 год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</row>
    <row r="5" spans="1:28" s="2" customFormat="1" ht="15.75" x14ac:dyDescent="0.2">
      <c r="A5" s="36"/>
    </row>
    <row r="6" spans="1:28" s="2" customFormat="1" ht="18.75" x14ac:dyDescent="0.2">
      <c r="A6" s="228" t="s">
        <v>6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</row>
    <row r="7" spans="1:28" s="2" customFormat="1" ht="18.75" x14ac:dyDescent="0.2">
      <c r="A7" s="228"/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</row>
    <row r="8" spans="1:28" s="2" customFormat="1" ht="18.75" customHeight="1" x14ac:dyDescent="0.2">
      <c r="A8" s="229" t="s">
        <v>334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</row>
    <row r="9" spans="1:28" s="2" customFormat="1" ht="18.75" customHeight="1" x14ac:dyDescent="0.2">
      <c r="A9" s="230" t="s">
        <v>5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8" s="2" customFormat="1" ht="18.75" x14ac:dyDescent="0.2">
      <c r="A10" s="228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</row>
    <row r="11" spans="1:28" s="2" customFormat="1" ht="18.75" customHeight="1" x14ac:dyDescent="0.2">
      <c r="A11" s="229" t="s">
        <v>471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</row>
    <row r="12" spans="1:28" s="2" customFormat="1" ht="18.75" customHeight="1" x14ac:dyDescent="0.2">
      <c r="A12" s="230" t="s">
        <v>4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8" s="50" customFormat="1" ht="15.75" customHeight="1" x14ac:dyDescent="0.2">
      <c r="A13" s="239"/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</row>
    <row r="14" spans="1:28" s="51" customFormat="1" ht="37.5" customHeight="1" x14ac:dyDescent="0.2">
      <c r="A14" s="231" t="str">
        <f>'1. паспорт местоположение'!A15:C15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</row>
    <row r="15" spans="1:28" s="51" customFormat="1" ht="15" customHeight="1" x14ac:dyDescent="0.2">
      <c r="A15" s="230" t="s">
        <v>3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8" x14ac:dyDescent="0.25">
      <c r="A16" s="257"/>
      <c r="B16" s="257"/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257"/>
      <c r="U16" s="257"/>
      <c r="V16" s="257"/>
      <c r="W16" s="257"/>
      <c r="X16" s="257"/>
      <c r="Y16" s="257"/>
      <c r="Z16" s="257"/>
      <c r="AA16" s="59"/>
      <c r="AB16" s="59"/>
    </row>
    <row r="17" spans="1:28" x14ac:dyDescent="0.25">
      <c r="A17" s="257"/>
      <c r="B17" s="257"/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257"/>
      <c r="W17" s="257"/>
      <c r="X17" s="257"/>
      <c r="Y17" s="257"/>
      <c r="Z17" s="257"/>
      <c r="AA17" s="59"/>
      <c r="AB17" s="59"/>
    </row>
    <row r="18" spans="1:28" x14ac:dyDescent="0.25">
      <c r="A18" s="257"/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  <c r="X18" s="257"/>
      <c r="Y18" s="257"/>
      <c r="Z18" s="257"/>
      <c r="AA18" s="59"/>
      <c r="AB18" s="59"/>
    </row>
    <row r="19" spans="1:28" x14ac:dyDescent="0.25">
      <c r="A19" s="257"/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  <c r="X19" s="257"/>
      <c r="Y19" s="257"/>
      <c r="Z19" s="257"/>
      <c r="AA19" s="59"/>
      <c r="AB19" s="59"/>
    </row>
    <row r="20" spans="1:28" x14ac:dyDescent="0.25">
      <c r="A20" s="257"/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59"/>
      <c r="AB20" s="59"/>
    </row>
    <row r="21" spans="1:28" x14ac:dyDescent="0.25">
      <c r="A21" s="257"/>
      <c r="B21" s="257"/>
      <c r="C21" s="257"/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  <c r="X21" s="257"/>
      <c r="Y21" s="257"/>
      <c r="Z21" s="257"/>
      <c r="AA21" s="59"/>
      <c r="AB21" s="59"/>
    </row>
    <row r="22" spans="1:28" x14ac:dyDescent="0.25">
      <c r="A22" s="262" t="s">
        <v>399</v>
      </c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262"/>
      <c r="Q22" s="262"/>
      <c r="R22" s="262"/>
      <c r="S22" s="262"/>
      <c r="T22" s="262"/>
      <c r="U22" s="262"/>
      <c r="V22" s="262"/>
      <c r="W22" s="262"/>
      <c r="X22" s="262"/>
      <c r="Y22" s="262"/>
      <c r="Z22" s="262"/>
      <c r="AA22" s="61"/>
      <c r="AB22" s="61"/>
    </row>
    <row r="23" spans="1:28" ht="32.25" customHeight="1" x14ac:dyDescent="0.25">
      <c r="A23" s="258" t="s">
        <v>400</v>
      </c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60"/>
      <c r="M23" s="261" t="s">
        <v>401</v>
      </c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</row>
    <row r="24" spans="1:28" ht="151.5" customHeight="1" x14ac:dyDescent="0.25">
      <c r="A24" s="162" t="s">
        <v>402</v>
      </c>
      <c r="B24" s="163" t="s">
        <v>403</v>
      </c>
      <c r="C24" s="162" t="s">
        <v>404</v>
      </c>
      <c r="D24" s="162" t="s">
        <v>405</v>
      </c>
      <c r="E24" s="162" t="s">
        <v>406</v>
      </c>
      <c r="F24" s="162" t="s">
        <v>426</v>
      </c>
      <c r="G24" s="162" t="s">
        <v>427</v>
      </c>
      <c r="H24" s="162" t="s">
        <v>407</v>
      </c>
      <c r="I24" s="162" t="s">
        <v>428</v>
      </c>
      <c r="J24" s="162" t="s">
        <v>408</v>
      </c>
      <c r="K24" s="163" t="s">
        <v>409</v>
      </c>
      <c r="L24" s="163" t="s">
        <v>410</v>
      </c>
      <c r="M24" s="164" t="s">
        <v>411</v>
      </c>
      <c r="N24" s="163" t="s">
        <v>429</v>
      </c>
      <c r="O24" s="162" t="s">
        <v>430</v>
      </c>
      <c r="P24" s="162" t="s">
        <v>431</v>
      </c>
      <c r="Q24" s="162" t="s">
        <v>432</v>
      </c>
      <c r="R24" s="162" t="s">
        <v>407</v>
      </c>
      <c r="S24" s="162" t="s">
        <v>433</v>
      </c>
      <c r="T24" s="162" t="s">
        <v>434</v>
      </c>
      <c r="U24" s="162" t="s">
        <v>435</v>
      </c>
      <c r="V24" s="162" t="s">
        <v>432</v>
      </c>
      <c r="W24" s="165" t="s">
        <v>436</v>
      </c>
      <c r="X24" s="165" t="s">
        <v>437</v>
      </c>
      <c r="Y24" s="165" t="s">
        <v>438</v>
      </c>
      <c r="Z24" s="62" t="s">
        <v>412</v>
      </c>
    </row>
    <row r="25" spans="1:28" ht="16.5" customHeight="1" x14ac:dyDescent="0.25">
      <c r="A25" s="162">
        <v>1</v>
      </c>
      <c r="B25" s="163">
        <v>2</v>
      </c>
      <c r="C25" s="162">
        <v>3</v>
      </c>
      <c r="D25" s="163">
        <v>4</v>
      </c>
      <c r="E25" s="162">
        <v>5</v>
      </c>
      <c r="F25" s="163">
        <v>6</v>
      </c>
      <c r="G25" s="162">
        <v>7</v>
      </c>
      <c r="H25" s="163">
        <v>8</v>
      </c>
      <c r="I25" s="162">
        <v>9</v>
      </c>
      <c r="J25" s="163">
        <v>10</v>
      </c>
      <c r="K25" s="162">
        <v>11</v>
      </c>
      <c r="L25" s="163">
        <v>12</v>
      </c>
      <c r="M25" s="162">
        <v>13</v>
      </c>
      <c r="N25" s="163">
        <v>14</v>
      </c>
      <c r="O25" s="162">
        <v>15</v>
      </c>
      <c r="P25" s="163">
        <v>16</v>
      </c>
      <c r="Q25" s="162">
        <v>17</v>
      </c>
      <c r="R25" s="163">
        <v>18</v>
      </c>
      <c r="S25" s="162">
        <v>19</v>
      </c>
      <c r="T25" s="163">
        <v>20</v>
      </c>
      <c r="U25" s="162">
        <v>21</v>
      </c>
      <c r="V25" s="163">
        <v>22</v>
      </c>
      <c r="W25" s="162">
        <v>23</v>
      </c>
      <c r="X25" s="163">
        <v>24</v>
      </c>
      <c r="Y25" s="162">
        <v>25</v>
      </c>
      <c r="Z25" s="163">
        <v>26</v>
      </c>
    </row>
    <row r="26" spans="1:28" ht="45.75" customHeight="1" x14ac:dyDescent="0.25">
      <c r="A26" s="22" t="s">
        <v>413</v>
      </c>
      <c r="B26" s="22"/>
      <c r="C26" s="63" t="s">
        <v>439</v>
      </c>
      <c r="D26" s="63" t="s">
        <v>440</v>
      </c>
      <c r="E26" s="63" t="s">
        <v>441</v>
      </c>
      <c r="F26" s="63" t="s">
        <v>442</v>
      </c>
      <c r="G26" s="63" t="s">
        <v>443</v>
      </c>
      <c r="H26" s="63" t="s">
        <v>407</v>
      </c>
      <c r="I26" s="63" t="s">
        <v>444</v>
      </c>
      <c r="J26" s="63" t="s">
        <v>445</v>
      </c>
      <c r="K26" s="166"/>
      <c r="L26" s="63" t="s">
        <v>414</v>
      </c>
      <c r="M26" s="64" t="s">
        <v>324</v>
      </c>
      <c r="N26" s="166" t="s">
        <v>326</v>
      </c>
      <c r="O26" s="166" t="s">
        <v>326</v>
      </c>
      <c r="P26" s="166" t="s">
        <v>326</v>
      </c>
      <c r="Q26" s="166" t="s">
        <v>326</v>
      </c>
      <c r="R26" s="166" t="s">
        <v>326</v>
      </c>
      <c r="S26" s="166" t="s">
        <v>326</v>
      </c>
      <c r="T26" s="166" t="s">
        <v>326</v>
      </c>
      <c r="U26" s="166" t="s">
        <v>326</v>
      </c>
      <c r="V26" s="166" t="s">
        <v>326</v>
      </c>
      <c r="W26" s="166" t="s">
        <v>326</v>
      </c>
      <c r="X26" s="166" t="s">
        <v>326</v>
      </c>
      <c r="Y26" s="166" t="s">
        <v>326</v>
      </c>
      <c r="Z26" s="167" t="s">
        <v>415</v>
      </c>
    </row>
    <row r="27" spans="1:28" x14ac:dyDescent="0.25">
      <c r="A27" s="166" t="s">
        <v>416</v>
      </c>
      <c r="B27" s="166" t="s">
        <v>417</v>
      </c>
      <c r="C27" s="166" t="s">
        <v>326</v>
      </c>
      <c r="D27" s="166" t="s">
        <v>326</v>
      </c>
      <c r="E27" s="166" t="s">
        <v>326</v>
      </c>
      <c r="F27" s="166" t="s">
        <v>326</v>
      </c>
      <c r="G27" s="166" t="s">
        <v>326</v>
      </c>
      <c r="H27" s="166" t="s">
        <v>326</v>
      </c>
      <c r="I27" s="166" t="s">
        <v>326</v>
      </c>
      <c r="J27" s="166" t="s">
        <v>326</v>
      </c>
      <c r="K27" s="63" t="s">
        <v>418</v>
      </c>
      <c r="L27" s="166" t="s">
        <v>326</v>
      </c>
      <c r="M27" s="63" t="s">
        <v>325</v>
      </c>
      <c r="N27" s="166" t="s">
        <v>326</v>
      </c>
      <c r="O27" s="166" t="s">
        <v>326</v>
      </c>
      <c r="P27" s="166" t="s">
        <v>326</v>
      </c>
      <c r="Q27" s="166" t="s">
        <v>326</v>
      </c>
      <c r="R27" s="166" t="s">
        <v>326</v>
      </c>
      <c r="S27" s="166" t="s">
        <v>326</v>
      </c>
      <c r="T27" s="166" t="s">
        <v>326</v>
      </c>
      <c r="U27" s="166" t="s">
        <v>326</v>
      </c>
      <c r="V27" s="166" t="s">
        <v>326</v>
      </c>
      <c r="W27" s="166" t="s">
        <v>326</v>
      </c>
      <c r="X27" s="166" t="s">
        <v>326</v>
      </c>
      <c r="Y27" s="166" t="s">
        <v>326</v>
      </c>
      <c r="Z27" s="166" t="s">
        <v>326</v>
      </c>
    </row>
    <row r="28" spans="1:28" x14ac:dyDescent="0.25">
      <c r="A28" s="166" t="s">
        <v>416</v>
      </c>
      <c r="B28" s="166" t="s">
        <v>419</v>
      </c>
      <c r="C28" s="166" t="s">
        <v>326</v>
      </c>
      <c r="D28" s="166" t="s">
        <v>326</v>
      </c>
      <c r="E28" s="166" t="s">
        <v>326</v>
      </c>
      <c r="F28" s="166" t="s">
        <v>326</v>
      </c>
      <c r="G28" s="166" t="s">
        <v>326</v>
      </c>
      <c r="H28" s="166" t="s">
        <v>326</v>
      </c>
      <c r="I28" s="166" t="s">
        <v>326</v>
      </c>
      <c r="J28" s="166" t="s">
        <v>326</v>
      </c>
      <c r="K28" s="63" t="s">
        <v>420</v>
      </c>
      <c r="L28" s="166" t="s">
        <v>326</v>
      </c>
      <c r="M28" s="63" t="s">
        <v>421</v>
      </c>
      <c r="N28" s="166" t="s">
        <v>326</v>
      </c>
      <c r="O28" s="166" t="s">
        <v>326</v>
      </c>
      <c r="P28" s="166" t="s">
        <v>326</v>
      </c>
      <c r="Q28" s="166" t="s">
        <v>326</v>
      </c>
      <c r="R28" s="166" t="s">
        <v>326</v>
      </c>
      <c r="S28" s="166" t="s">
        <v>326</v>
      </c>
      <c r="T28" s="166" t="s">
        <v>326</v>
      </c>
      <c r="U28" s="166" t="s">
        <v>326</v>
      </c>
      <c r="V28" s="166" t="s">
        <v>326</v>
      </c>
      <c r="W28" s="166" t="s">
        <v>326</v>
      </c>
      <c r="X28" s="166" t="s">
        <v>326</v>
      </c>
      <c r="Y28" s="166" t="s">
        <v>326</v>
      </c>
      <c r="Z28" s="166" t="s">
        <v>326</v>
      </c>
    </row>
    <row r="29" spans="1:28" x14ac:dyDescent="0.25">
      <c r="A29" s="166" t="s">
        <v>416</v>
      </c>
      <c r="B29" s="166" t="s">
        <v>422</v>
      </c>
      <c r="C29" s="166" t="s">
        <v>326</v>
      </c>
      <c r="D29" s="166" t="s">
        <v>326</v>
      </c>
      <c r="E29" s="166" t="s">
        <v>326</v>
      </c>
      <c r="F29" s="166" t="s">
        <v>326</v>
      </c>
      <c r="G29" s="166" t="s">
        <v>326</v>
      </c>
      <c r="H29" s="166" t="s">
        <v>326</v>
      </c>
      <c r="I29" s="166" t="s">
        <v>326</v>
      </c>
      <c r="J29" s="166" t="s">
        <v>326</v>
      </c>
      <c r="K29" s="63" t="s">
        <v>423</v>
      </c>
      <c r="L29" s="166" t="s">
        <v>326</v>
      </c>
      <c r="M29" s="166" t="s">
        <v>326</v>
      </c>
      <c r="N29" s="166" t="s">
        <v>326</v>
      </c>
      <c r="O29" s="166" t="s">
        <v>326</v>
      </c>
      <c r="P29" s="166" t="s">
        <v>326</v>
      </c>
      <c r="Q29" s="166" t="s">
        <v>326</v>
      </c>
      <c r="R29" s="166" t="s">
        <v>326</v>
      </c>
      <c r="S29" s="166" t="s">
        <v>326</v>
      </c>
      <c r="T29" s="166" t="s">
        <v>326</v>
      </c>
      <c r="U29" s="166" t="s">
        <v>326</v>
      </c>
      <c r="V29" s="166" t="s">
        <v>326</v>
      </c>
      <c r="W29" s="166" t="s">
        <v>326</v>
      </c>
      <c r="X29" s="166" t="s">
        <v>326</v>
      </c>
      <c r="Y29" s="166" t="s">
        <v>326</v>
      </c>
      <c r="Z29" s="166" t="s">
        <v>326</v>
      </c>
    </row>
    <row r="30" spans="1:28" x14ac:dyDescent="0.25">
      <c r="A30" s="166" t="s">
        <v>416</v>
      </c>
      <c r="B30" s="166" t="s">
        <v>424</v>
      </c>
      <c r="C30" s="166" t="s">
        <v>326</v>
      </c>
      <c r="D30" s="166" t="s">
        <v>326</v>
      </c>
      <c r="E30" s="166" t="s">
        <v>326</v>
      </c>
      <c r="F30" s="166" t="s">
        <v>326</v>
      </c>
      <c r="G30" s="166" t="s">
        <v>326</v>
      </c>
      <c r="H30" s="166" t="s">
        <v>326</v>
      </c>
      <c r="I30" s="166" t="s">
        <v>326</v>
      </c>
      <c r="J30" s="166" t="s">
        <v>326</v>
      </c>
      <c r="K30" s="63" t="s">
        <v>425</v>
      </c>
      <c r="L30" s="166" t="s">
        <v>326</v>
      </c>
      <c r="M30" s="166" t="s">
        <v>326</v>
      </c>
      <c r="N30" s="166" t="s">
        <v>326</v>
      </c>
      <c r="O30" s="166" t="s">
        <v>326</v>
      </c>
      <c r="P30" s="166" t="s">
        <v>326</v>
      </c>
      <c r="Q30" s="166" t="s">
        <v>326</v>
      </c>
      <c r="R30" s="166" t="s">
        <v>326</v>
      </c>
      <c r="S30" s="166" t="s">
        <v>326</v>
      </c>
      <c r="T30" s="166" t="s">
        <v>326</v>
      </c>
      <c r="U30" s="166" t="s">
        <v>326</v>
      </c>
      <c r="V30" s="166" t="s">
        <v>326</v>
      </c>
      <c r="W30" s="166" t="s">
        <v>326</v>
      </c>
      <c r="X30" s="166" t="s">
        <v>326</v>
      </c>
      <c r="Y30" s="166" t="s">
        <v>326</v>
      </c>
      <c r="Z30" s="166" t="s">
        <v>326</v>
      </c>
    </row>
    <row r="31" spans="1:28" x14ac:dyDescent="0.25">
      <c r="A31" s="166" t="s">
        <v>421</v>
      </c>
      <c r="B31" s="166" t="s">
        <v>421</v>
      </c>
      <c r="C31" s="166" t="s">
        <v>421</v>
      </c>
      <c r="D31" s="166" t="s">
        <v>421</v>
      </c>
      <c r="E31" s="166" t="s">
        <v>421</v>
      </c>
      <c r="F31" s="166" t="s">
        <v>421</v>
      </c>
      <c r="G31" s="166" t="s">
        <v>421</v>
      </c>
      <c r="H31" s="166" t="s">
        <v>421</v>
      </c>
      <c r="I31" s="166" t="s">
        <v>421</v>
      </c>
      <c r="J31" s="166" t="s">
        <v>421</v>
      </c>
      <c r="K31" s="166" t="s">
        <v>421</v>
      </c>
      <c r="L31" s="166" t="s">
        <v>326</v>
      </c>
      <c r="M31" s="166" t="s">
        <v>326</v>
      </c>
      <c r="N31" s="166" t="s">
        <v>326</v>
      </c>
      <c r="O31" s="166" t="s">
        <v>326</v>
      </c>
      <c r="P31" s="166" t="s">
        <v>326</v>
      </c>
      <c r="Q31" s="166" t="s">
        <v>326</v>
      </c>
      <c r="R31" s="166" t="s">
        <v>326</v>
      </c>
      <c r="S31" s="166" t="s">
        <v>326</v>
      </c>
      <c r="T31" s="166" t="s">
        <v>326</v>
      </c>
      <c r="U31" s="166" t="s">
        <v>326</v>
      </c>
      <c r="V31" s="166" t="s">
        <v>326</v>
      </c>
      <c r="W31" s="166" t="s">
        <v>326</v>
      </c>
      <c r="X31" s="166" t="s">
        <v>326</v>
      </c>
      <c r="Y31" s="166" t="s">
        <v>326</v>
      </c>
      <c r="Z31" s="166" t="s">
        <v>326</v>
      </c>
    </row>
    <row r="32" spans="1:28" ht="30" x14ac:dyDescent="0.25">
      <c r="A32" s="22" t="s">
        <v>413</v>
      </c>
      <c r="B32" s="22"/>
      <c r="C32" s="63" t="s">
        <v>446</v>
      </c>
      <c r="D32" s="63" t="s">
        <v>447</v>
      </c>
      <c r="E32" s="63" t="s">
        <v>448</v>
      </c>
      <c r="F32" s="63" t="s">
        <v>449</v>
      </c>
      <c r="G32" s="63" t="s">
        <v>450</v>
      </c>
      <c r="H32" s="63" t="s">
        <v>407</v>
      </c>
      <c r="I32" s="63" t="s">
        <v>451</v>
      </c>
      <c r="J32" s="63" t="s">
        <v>452</v>
      </c>
      <c r="K32" s="166"/>
      <c r="L32" s="166" t="s">
        <v>326</v>
      </c>
      <c r="M32" s="166" t="s">
        <v>326</v>
      </c>
      <c r="N32" s="166" t="s">
        <v>326</v>
      </c>
      <c r="O32" s="166" t="s">
        <v>326</v>
      </c>
      <c r="P32" s="166" t="s">
        <v>326</v>
      </c>
      <c r="Q32" s="166" t="s">
        <v>326</v>
      </c>
      <c r="R32" s="166" t="s">
        <v>326</v>
      </c>
      <c r="S32" s="166" t="s">
        <v>326</v>
      </c>
      <c r="T32" s="166" t="s">
        <v>326</v>
      </c>
      <c r="U32" s="166" t="s">
        <v>326</v>
      </c>
      <c r="V32" s="166" t="s">
        <v>326</v>
      </c>
      <c r="W32" s="166" t="s">
        <v>326</v>
      </c>
      <c r="X32" s="166" t="s">
        <v>326</v>
      </c>
      <c r="Y32" s="166" t="s">
        <v>326</v>
      </c>
      <c r="Z32" s="166" t="s">
        <v>326</v>
      </c>
    </row>
    <row r="33" spans="1:26" x14ac:dyDescent="0.25">
      <c r="A33" s="166" t="s">
        <v>421</v>
      </c>
      <c r="B33" s="166" t="s">
        <v>421</v>
      </c>
      <c r="C33" s="166" t="s">
        <v>421</v>
      </c>
      <c r="D33" s="166" t="s">
        <v>421</v>
      </c>
      <c r="E33" s="166" t="s">
        <v>421</v>
      </c>
      <c r="F33" s="166" t="s">
        <v>421</v>
      </c>
      <c r="G33" s="166" t="s">
        <v>421</v>
      </c>
      <c r="H33" s="166" t="s">
        <v>421</v>
      </c>
      <c r="I33" s="166" t="s">
        <v>421</v>
      </c>
      <c r="J33" s="166" t="s">
        <v>421</v>
      </c>
      <c r="K33" s="166" t="s">
        <v>421</v>
      </c>
      <c r="L33" s="166" t="s">
        <v>326</v>
      </c>
      <c r="M33" s="166" t="s">
        <v>326</v>
      </c>
      <c r="N33" s="166" t="s">
        <v>326</v>
      </c>
      <c r="O33" s="166" t="s">
        <v>326</v>
      </c>
      <c r="P33" s="166" t="s">
        <v>326</v>
      </c>
      <c r="Q33" s="166" t="s">
        <v>326</v>
      </c>
      <c r="R33" s="166" t="s">
        <v>326</v>
      </c>
      <c r="S33" s="166" t="s">
        <v>326</v>
      </c>
      <c r="T33" s="166" t="s">
        <v>326</v>
      </c>
      <c r="U33" s="166" t="s">
        <v>326</v>
      </c>
      <c r="V33" s="166" t="s">
        <v>326</v>
      </c>
      <c r="W33" s="166" t="s">
        <v>326</v>
      </c>
      <c r="X33" s="166" t="s">
        <v>326</v>
      </c>
      <c r="Y33" s="166" t="s">
        <v>326</v>
      </c>
      <c r="Z33" s="166" t="s">
        <v>326</v>
      </c>
    </row>
    <row r="37" spans="1:26" x14ac:dyDescent="0.25">
      <c r="A37" s="168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8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C42" sqref="C42"/>
    </sheetView>
  </sheetViews>
  <sheetFormatPr defaultRowHeight="15" x14ac:dyDescent="0.25"/>
  <cols>
    <col min="1" max="1" width="7.42578125" style="66" customWidth="1"/>
    <col min="2" max="2" width="25.5703125" style="66" customWidth="1"/>
    <col min="3" max="3" width="71.28515625" style="66" customWidth="1"/>
    <col min="4" max="4" width="16.140625" style="66" customWidth="1"/>
    <col min="5" max="5" width="9.42578125" style="66" customWidth="1"/>
    <col min="6" max="6" width="8.7109375" style="66" customWidth="1"/>
    <col min="7" max="7" width="9" style="66" customWidth="1"/>
    <col min="8" max="8" width="8.42578125" style="66" customWidth="1"/>
    <col min="9" max="9" width="8.7109375" style="66" customWidth="1"/>
    <col min="10" max="10" width="8.85546875" style="66" customWidth="1"/>
    <col min="11" max="11" width="9" style="66" customWidth="1"/>
    <col min="12" max="12" width="8.140625" style="66" customWidth="1"/>
    <col min="13" max="13" width="12" style="66" customWidth="1"/>
    <col min="14" max="14" width="10.5703125" style="66" customWidth="1"/>
    <col min="15" max="15" width="9.140625" style="66"/>
    <col min="16" max="16384" width="9.140625" style="60"/>
  </cols>
  <sheetData>
    <row r="1" spans="1:20" ht="18.75" x14ac:dyDescent="0.25">
      <c r="A1" s="33"/>
      <c r="B1" s="3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4" t="s">
        <v>58</v>
      </c>
    </row>
    <row r="2" spans="1:20" ht="18.75" x14ac:dyDescent="0.3">
      <c r="A2" s="33"/>
      <c r="B2" s="3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5" t="s">
        <v>7</v>
      </c>
    </row>
    <row r="3" spans="1:20" ht="18.75" x14ac:dyDescent="0.3">
      <c r="A3" s="36"/>
      <c r="B3" s="36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5" t="s">
        <v>57</v>
      </c>
    </row>
    <row r="4" spans="1:20" ht="18.75" x14ac:dyDescent="0.3">
      <c r="A4" s="36"/>
      <c r="B4" s="36"/>
      <c r="C4" s="2"/>
      <c r="D4" s="2"/>
      <c r="E4" s="2"/>
      <c r="F4" s="2"/>
      <c r="G4" s="2"/>
      <c r="H4" s="2"/>
      <c r="I4" s="2"/>
      <c r="J4" s="2"/>
      <c r="K4" s="2"/>
      <c r="L4" s="35"/>
      <c r="M4" s="2"/>
      <c r="N4" s="2"/>
      <c r="O4" s="2"/>
    </row>
    <row r="5" spans="1:20" s="2" customFormat="1" ht="18.75" customHeight="1" x14ac:dyDescent="0.3">
      <c r="A5" s="33"/>
      <c r="T5" s="35"/>
    </row>
    <row r="6" spans="1:20" s="2" customFormat="1" ht="15.75" x14ac:dyDescent="0.2">
      <c r="A6" s="224" t="str">
        <f>'1. паспорт местоположение'!$A$5</f>
        <v>Год раскрытия информации: 2019 год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</row>
    <row r="7" spans="1:20" s="2" customFormat="1" ht="15.75" x14ac:dyDescent="0.2">
      <c r="A7" s="36"/>
    </row>
    <row r="8" spans="1:20" s="2" customFormat="1" ht="18.75" x14ac:dyDescent="0.2">
      <c r="A8" s="228" t="s">
        <v>6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</row>
    <row r="9" spans="1:20" s="2" customFormat="1" ht="18.75" x14ac:dyDescent="0.2">
      <c r="A9" s="228"/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</row>
    <row r="10" spans="1:20" s="2" customFormat="1" ht="18.75" customHeight="1" x14ac:dyDescent="0.2">
      <c r="A10" s="229" t="s">
        <v>334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</row>
    <row r="11" spans="1:20" s="2" customFormat="1" ht="18.75" customHeight="1" x14ac:dyDescent="0.2">
      <c r="A11" s="230" t="s">
        <v>5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s="2" customFormat="1" ht="18.75" x14ac:dyDescent="0.2">
      <c r="A12" s="228"/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</row>
    <row r="13" spans="1:20" s="2" customFormat="1" ht="18.75" customHeight="1" x14ac:dyDescent="0.2">
      <c r="A13" s="229" t="s">
        <v>471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</row>
    <row r="14" spans="1:20" s="2" customFormat="1" ht="18.75" customHeight="1" x14ac:dyDescent="0.2">
      <c r="A14" s="230" t="s">
        <v>4</v>
      </c>
      <c r="B14" s="230"/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s="50" customFormat="1" ht="15.75" customHeight="1" x14ac:dyDescent="0.2">
      <c r="A15" s="239"/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39"/>
    </row>
    <row r="16" spans="1:20" s="51" customFormat="1" ht="15.75" x14ac:dyDescent="0.2">
      <c r="A16" s="229" t="str">
        <f>'1. паспорт местоположение'!A15:C15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</row>
    <row r="17" spans="1:20" s="51" customFormat="1" ht="15" customHeight="1" x14ac:dyDescent="0.2">
      <c r="A17" s="230" t="s">
        <v>3</v>
      </c>
      <c r="B17" s="230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96" customHeight="1" x14ac:dyDescent="0.25">
      <c r="A18" s="263" t="s">
        <v>453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</row>
    <row r="19" spans="1:20" ht="15.75" customHeight="1" x14ac:dyDescent="0.25">
      <c r="A19" s="233" t="s">
        <v>2</v>
      </c>
      <c r="B19" s="233" t="s">
        <v>454</v>
      </c>
      <c r="C19" s="233" t="s">
        <v>455</v>
      </c>
      <c r="D19" s="233" t="s">
        <v>456</v>
      </c>
      <c r="E19" s="264" t="s">
        <v>457</v>
      </c>
      <c r="F19" s="265"/>
      <c r="G19" s="265"/>
      <c r="H19" s="265"/>
      <c r="I19" s="266"/>
      <c r="J19" s="264" t="s">
        <v>458</v>
      </c>
      <c r="K19" s="265"/>
      <c r="L19" s="265"/>
      <c r="M19" s="265"/>
      <c r="N19" s="265"/>
      <c r="O19" s="266"/>
    </row>
    <row r="20" spans="1:20" ht="123" customHeight="1" x14ac:dyDescent="0.25">
      <c r="A20" s="233"/>
      <c r="B20" s="233"/>
      <c r="C20" s="233"/>
      <c r="D20" s="233"/>
      <c r="E20" s="157" t="s">
        <v>459</v>
      </c>
      <c r="F20" s="157" t="s">
        <v>460</v>
      </c>
      <c r="G20" s="157" t="s">
        <v>461</v>
      </c>
      <c r="H20" s="157" t="s">
        <v>462</v>
      </c>
      <c r="I20" s="157" t="s">
        <v>65</v>
      </c>
      <c r="J20" s="157" t="s">
        <v>463</v>
      </c>
      <c r="K20" s="157" t="s">
        <v>464</v>
      </c>
      <c r="L20" s="158" t="s">
        <v>465</v>
      </c>
      <c r="M20" s="159" t="s">
        <v>466</v>
      </c>
      <c r="N20" s="159" t="s">
        <v>467</v>
      </c>
      <c r="O20" s="159" t="s">
        <v>468</v>
      </c>
    </row>
    <row r="21" spans="1:20" ht="15.75" x14ac:dyDescent="0.25">
      <c r="A21" s="160">
        <v>1</v>
      </c>
      <c r="B21" s="161">
        <v>2</v>
      </c>
      <c r="C21" s="160">
        <v>3</v>
      </c>
      <c r="D21" s="161">
        <v>4</v>
      </c>
      <c r="E21" s="160">
        <v>5</v>
      </c>
      <c r="F21" s="161">
        <v>6</v>
      </c>
      <c r="G21" s="160">
        <v>7</v>
      </c>
      <c r="H21" s="161">
        <v>8</v>
      </c>
      <c r="I21" s="160">
        <v>9</v>
      </c>
      <c r="J21" s="161">
        <v>10</v>
      </c>
      <c r="K21" s="160">
        <v>11</v>
      </c>
      <c r="L21" s="161">
        <v>12</v>
      </c>
      <c r="M21" s="160">
        <v>13</v>
      </c>
      <c r="N21" s="161">
        <v>14</v>
      </c>
      <c r="O21" s="160">
        <v>15</v>
      </c>
    </row>
    <row r="22" spans="1:20" ht="15.75" x14ac:dyDescent="0.25">
      <c r="A22" s="3" t="s">
        <v>326</v>
      </c>
      <c r="B22" s="3" t="s">
        <v>326</v>
      </c>
      <c r="C22" s="3" t="s">
        <v>326</v>
      </c>
      <c r="D22" s="3" t="s">
        <v>326</v>
      </c>
      <c r="E22" s="3" t="s">
        <v>326</v>
      </c>
      <c r="F22" s="3" t="s">
        <v>326</v>
      </c>
      <c r="G22" s="3" t="s">
        <v>326</v>
      </c>
      <c r="H22" s="3" t="s">
        <v>326</v>
      </c>
      <c r="I22" s="3" t="s">
        <v>326</v>
      </c>
      <c r="J22" s="3" t="s">
        <v>326</v>
      </c>
      <c r="K22" s="3" t="s">
        <v>326</v>
      </c>
      <c r="L22" s="3" t="s">
        <v>326</v>
      </c>
      <c r="M22" s="3" t="s">
        <v>326</v>
      </c>
      <c r="N22" s="3" t="s">
        <v>326</v>
      </c>
      <c r="O22" s="3" t="s">
        <v>326</v>
      </c>
    </row>
    <row r="23" spans="1:20" x14ac:dyDescent="0.25">
      <c r="A23" s="65"/>
      <c r="B23" s="65"/>
      <c r="C23" s="65" t="e">
        <v>#N/A</v>
      </c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</row>
    <row r="24" spans="1:20" x14ac:dyDescent="0.25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</row>
    <row r="25" spans="1:20" x14ac:dyDescent="0.25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</row>
    <row r="26" spans="1:20" x14ac:dyDescent="0.25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</row>
    <row r="27" spans="1:20" x14ac:dyDescent="0.25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</row>
    <row r="28" spans="1:20" x14ac:dyDescent="0.25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20" x14ac:dyDescent="0.25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20" x14ac:dyDescent="0.25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20" x14ac:dyDescent="0.25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20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1:15" x14ac:dyDescent="0.25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</row>
    <row r="34" spans="1:15" x14ac:dyDescent="0.25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</row>
    <row r="35" spans="1:15" x14ac:dyDescent="0.25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</row>
    <row r="36" spans="1:15" x14ac:dyDescent="0.25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</row>
    <row r="37" spans="1:15" x14ac:dyDescent="0.25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</row>
    <row r="38" spans="1:15" x14ac:dyDescent="0.25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</row>
    <row r="39" spans="1:15" x14ac:dyDescent="0.25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</row>
    <row r="40" spans="1:15" x14ac:dyDescent="0.25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</row>
    <row r="41" spans="1:15" x14ac:dyDescent="0.25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</row>
    <row r="42" spans="1:15" x14ac:dyDescent="0.25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</row>
    <row r="43" spans="1:15" x14ac:dyDescent="0.25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</row>
    <row r="44" spans="1:15" x14ac:dyDescent="0.25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spans="1:15" x14ac:dyDescent="0.2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spans="1:15" x14ac:dyDescent="0.2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</row>
    <row r="47" spans="1:15" x14ac:dyDescent="0.25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</row>
    <row r="48" spans="1:15" x14ac:dyDescent="0.25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</row>
    <row r="49" spans="1:15" x14ac:dyDescent="0.25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</row>
    <row r="50" spans="1:15" x14ac:dyDescent="0.25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</row>
    <row r="51" spans="1:15" x14ac:dyDescent="0.25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</row>
    <row r="52" spans="1:15" x14ac:dyDescent="0.25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</row>
    <row r="53" spans="1:15" x14ac:dyDescent="0.25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</row>
    <row r="54" spans="1:15" x14ac:dyDescent="0.25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</row>
    <row r="55" spans="1:15" x14ac:dyDescent="0.25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</row>
    <row r="56" spans="1:15" x14ac:dyDescent="0.25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</row>
    <row r="57" spans="1:15" x14ac:dyDescent="0.25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</row>
    <row r="58" spans="1:15" x14ac:dyDescent="0.25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</row>
    <row r="59" spans="1:15" x14ac:dyDescent="0.25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</row>
    <row r="60" spans="1:15" x14ac:dyDescent="0.25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</row>
    <row r="61" spans="1:15" x14ac:dyDescent="0.25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</row>
    <row r="62" spans="1:15" x14ac:dyDescent="0.25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</row>
    <row r="63" spans="1:15" x14ac:dyDescent="0.25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</row>
    <row r="64" spans="1:15" x14ac:dyDescent="0.25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</row>
    <row r="65" spans="1:15" x14ac:dyDescent="0.25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</row>
    <row r="66" spans="1:15" x14ac:dyDescent="0.25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</row>
    <row r="67" spans="1:15" x14ac:dyDescent="0.25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</row>
    <row r="68" spans="1:15" x14ac:dyDescent="0.25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</row>
    <row r="69" spans="1:15" x14ac:dyDescent="0.25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</row>
    <row r="70" spans="1:15" x14ac:dyDescent="0.25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</row>
    <row r="71" spans="1:15" x14ac:dyDescent="0.25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</row>
    <row r="72" spans="1:15" x14ac:dyDescent="0.25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</row>
    <row r="73" spans="1:15" x14ac:dyDescent="0.25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</row>
    <row r="74" spans="1:15" x14ac:dyDescent="0.25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</row>
    <row r="75" spans="1:15" x14ac:dyDescent="0.25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</row>
    <row r="76" spans="1:15" x14ac:dyDescent="0.25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</row>
    <row r="77" spans="1:15" x14ac:dyDescent="0.25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</row>
    <row r="78" spans="1:15" x14ac:dyDescent="0.25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</row>
    <row r="79" spans="1:15" x14ac:dyDescent="0.25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</row>
    <row r="80" spans="1:15" x14ac:dyDescent="0.25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</row>
    <row r="81" spans="1:15" x14ac:dyDescent="0.25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</row>
    <row r="82" spans="1:15" x14ac:dyDescent="0.25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</row>
    <row r="83" spans="1:15" x14ac:dyDescent="0.25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</row>
    <row r="84" spans="1:15" x14ac:dyDescent="0.25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</row>
    <row r="85" spans="1:15" x14ac:dyDescent="0.2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</row>
    <row r="86" spans="1:15" x14ac:dyDescent="0.25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</row>
    <row r="87" spans="1:15" x14ac:dyDescent="0.25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</row>
    <row r="88" spans="1:15" x14ac:dyDescent="0.25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</row>
    <row r="89" spans="1:15" x14ac:dyDescent="0.25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</row>
    <row r="90" spans="1:15" x14ac:dyDescent="0.25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</row>
    <row r="91" spans="1:15" x14ac:dyDescent="0.25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</row>
    <row r="92" spans="1:15" x14ac:dyDescent="0.25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</row>
    <row r="93" spans="1:15" x14ac:dyDescent="0.25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</row>
    <row r="94" spans="1:15" x14ac:dyDescent="0.25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</row>
    <row r="95" spans="1:15" x14ac:dyDescent="0.25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</row>
    <row r="96" spans="1:15" x14ac:dyDescent="0.25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</row>
    <row r="97" spans="1:15" x14ac:dyDescent="0.25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</row>
    <row r="98" spans="1:15" x14ac:dyDescent="0.25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</row>
    <row r="99" spans="1:15" x14ac:dyDescent="0.25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</row>
    <row r="100" spans="1:15" x14ac:dyDescent="0.25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</row>
    <row r="101" spans="1:15" x14ac:dyDescent="0.25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</row>
    <row r="102" spans="1:15" x14ac:dyDescent="0.25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</row>
    <row r="103" spans="1:15" x14ac:dyDescent="0.25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</row>
    <row r="104" spans="1:15" x14ac:dyDescent="0.25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</row>
    <row r="105" spans="1:15" x14ac:dyDescent="0.25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</row>
    <row r="106" spans="1:15" x14ac:dyDescent="0.25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x14ac:dyDescent="0.25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x14ac:dyDescent="0.25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x14ac:dyDescent="0.25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x14ac:dyDescent="0.25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x14ac:dyDescent="0.25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25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15" x14ac:dyDescent="0.25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</row>
    <row r="114" spans="1:15" x14ac:dyDescent="0.25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</row>
    <row r="115" spans="1:15" x14ac:dyDescent="0.25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</row>
    <row r="116" spans="1:15" x14ac:dyDescent="0.25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</row>
    <row r="117" spans="1:15" x14ac:dyDescent="0.25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</row>
    <row r="118" spans="1:15" x14ac:dyDescent="0.25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</row>
    <row r="119" spans="1:15" x14ac:dyDescent="0.25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</row>
    <row r="120" spans="1:15" x14ac:dyDescent="0.25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</row>
    <row r="121" spans="1:15" x14ac:dyDescent="0.25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</row>
    <row r="122" spans="1:15" x14ac:dyDescent="0.25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</row>
    <row r="123" spans="1:15" x14ac:dyDescent="0.25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</row>
    <row r="124" spans="1:15" x14ac:dyDescent="0.25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</row>
    <row r="125" spans="1:15" x14ac:dyDescent="0.25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</row>
    <row r="126" spans="1:15" x14ac:dyDescent="0.25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</row>
    <row r="127" spans="1:15" x14ac:dyDescent="0.25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</row>
    <row r="128" spans="1:15" x14ac:dyDescent="0.25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</row>
    <row r="129" spans="1:15" x14ac:dyDescent="0.25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</row>
    <row r="130" spans="1:15" x14ac:dyDescent="0.25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</row>
    <row r="131" spans="1:15" x14ac:dyDescent="0.25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</row>
    <row r="132" spans="1:15" x14ac:dyDescent="0.25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</row>
    <row r="133" spans="1:15" x14ac:dyDescent="0.25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</row>
    <row r="134" spans="1:15" x14ac:dyDescent="0.25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</row>
    <row r="135" spans="1:15" x14ac:dyDescent="0.25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</row>
    <row r="136" spans="1:15" x14ac:dyDescent="0.25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</row>
    <row r="137" spans="1:15" x14ac:dyDescent="0.25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</row>
    <row r="138" spans="1:15" x14ac:dyDescent="0.25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</row>
    <row r="139" spans="1:15" x14ac:dyDescent="0.25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</row>
    <row r="140" spans="1:15" x14ac:dyDescent="0.25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</row>
    <row r="141" spans="1:15" x14ac:dyDescent="0.25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</row>
    <row r="142" spans="1:15" x14ac:dyDescent="0.25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</row>
    <row r="143" spans="1:15" x14ac:dyDescent="0.25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</row>
    <row r="144" spans="1:15" x14ac:dyDescent="0.25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</row>
    <row r="145" spans="1:15" x14ac:dyDescent="0.2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</row>
    <row r="146" spans="1:15" x14ac:dyDescent="0.25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</row>
    <row r="147" spans="1:15" x14ac:dyDescent="0.25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</row>
    <row r="148" spans="1:15" x14ac:dyDescent="0.25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</row>
    <row r="149" spans="1:15" x14ac:dyDescent="0.25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</row>
    <row r="150" spans="1:15" x14ac:dyDescent="0.25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</row>
    <row r="151" spans="1:15" x14ac:dyDescent="0.25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</row>
    <row r="152" spans="1:15" x14ac:dyDescent="0.25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</row>
    <row r="153" spans="1:15" x14ac:dyDescent="0.25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</row>
    <row r="154" spans="1:15" x14ac:dyDescent="0.25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</row>
    <row r="155" spans="1:15" x14ac:dyDescent="0.25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</row>
    <row r="156" spans="1:15" x14ac:dyDescent="0.25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</row>
    <row r="157" spans="1:15" x14ac:dyDescent="0.25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</row>
    <row r="158" spans="1:15" x14ac:dyDescent="0.25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</row>
    <row r="159" spans="1:15" x14ac:dyDescent="0.25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</row>
    <row r="160" spans="1:15" x14ac:dyDescent="0.25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</row>
    <row r="161" spans="1:15" x14ac:dyDescent="0.25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</row>
    <row r="162" spans="1:15" x14ac:dyDescent="0.25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</row>
    <row r="163" spans="1:15" x14ac:dyDescent="0.25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</row>
    <row r="164" spans="1:15" x14ac:dyDescent="0.25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</row>
    <row r="165" spans="1:15" x14ac:dyDescent="0.25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</row>
    <row r="166" spans="1:15" x14ac:dyDescent="0.25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</row>
    <row r="167" spans="1:15" x14ac:dyDescent="0.25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</row>
    <row r="168" spans="1:15" x14ac:dyDescent="0.25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</row>
    <row r="169" spans="1:15" x14ac:dyDescent="0.25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</row>
    <row r="170" spans="1:15" x14ac:dyDescent="0.25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</row>
    <row r="171" spans="1:15" x14ac:dyDescent="0.25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</row>
    <row r="172" spans="1:15" x14ac:dyDescent="0.25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</row>
    <row r="173" spans="1:15" x14ac:dyDescent="0.25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</row>
    <row r="174" spans="1:15" x14ac:dyDescent="0.25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</row>
    <row r="175" spans="1:15" x14ac:dyDescent="0.25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</row>
    <row r="176" spans="1:15" x14ac:dyDescent="0.25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</row>
    <row r="177" spans="1:15" x14ac:dyDescent="0.25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</row>
    <row r="178" spans="1:15" x14ac:dyDescent="0.25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</row>
    <row r="179" spans="1:15" x14ac:dyDescent="0.25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</row>
    <row r="180" spans="1:15" x14ac:dyDescent="0.25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</row>
    <row r="181" spans="1:15" x14ac:dyDescent="0.25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</row>
    <row r="182" spans="1:15" x14ac:dyDescent="0.25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</row>
    <row r="183" spans="1:15" x14ac:dyDescent="0.25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</row>
    <row r="184" spans="1:15" x14ac:dyDescent="0.25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</row>
    <row r="185" spans="1:15" x14ac:dyDescent="0.25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</row>
    <row r="186" spans="1:15" x14ac:dyDescent="0.25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</row>
    <row r="187" spans="1:15" x14ac:dyDescent="0.25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</row>
    <row r="188" spans="1:15" x14ac:dyDescent="0.25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</row>
    <row r="189" spans="1:15" x14ac:dyDescent="0.25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</row>
    <row r="190" spans="1:15" x14ac:dyDescent="0.25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</row>
    <row r="191" spans="1:15" x14ac:dyDescent="0.25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</row>
    <row r="192" spans="1:15" x14ac:dyDescent="0.25">
      <c r="A192" s="65"/>
      <c r="B192" s="65"/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</row>
    <row r="193" spans="1:15" x14ac:dyDescent="0.25">
      <c r="A193" s="65"/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</row>
    <row r="194" spans="1:15" x14ac:dyDescent="0.25">
      <c r="A194" s="65"/>
      <c r="B194" s="65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</row>
    <row r="195" spans="1:15" x14ac:dyDescent="0.25">
      <c r="A195" s="65"/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</row>
    <row r="196" spans="1:15" x14ac:dyDescent="0.25">
      <c r="A196" s="65"/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</row>
    <row r="197" spans="1:15" x14ac:dyDescent="0.25">
      <c r="A197" s="65"/>
      <c r="B197" s="65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</row>
    <row r="198" spans="1:15" x14ac:dyDescent="0.25">
      <c r="A198" s="65"/>
      <c r="B198" s="65"/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</row>
    <row r="199" spans="1:15" x14ac:dyDescent="0.25">
      <c r="A199" s="65"/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</row>
    <row r="200" spans="1:15" x14ac:dyDescent="0.25">
      <c r="A200" s="65"/>
      <c r="B200" s="65"/>
      <c r="C200" s="65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</row>
    <row r="201" spans="1:15" x14ac:dyDescent="0.25">
      <c r="A201" s="65"/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</row>
    <row r="202" spans="1:15" x14ac:dyDescent="0.25">
      <c r="A202" s="65"/>
      <c r="B202" s="65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</row>
    <row r="203" spans="1:15" x14ac:dyDescent="0.25">
      <c r="A203" s="65"/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</row>
    <row r="204" spans="1:15" x14ac:dyDescent="0.25">
      <c r="A204" s="65"/>
      <c r="B204" s="65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</row>
    <row r="205" spans="1:15" x14ac:dyDescent="0.25">
      <c r="A205" s="65"/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</row>
    <row r="206" spans="1:15" x14ac:dyDescent="0.25">
      <c r="A206" s="65"/>
      <c r="B206" s="65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</row>
    <row r="207" spans="1:15" x14ac:dyDescent="0.25">
      <c r="A207" s="65"/>
      <c r="B207" s="65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</row>
    <row r="208" spans="1:15" x14ac:dyDescent="0.25">
      <c r="A208" s="65"/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</row>
    <row r="209" spans="1:15" x14ac:dyDescent="0.25">
      <c r="A209" s="65"/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</row>
    <row r="210" spans="1:15" x14ac:dyDescent="0.25">
      <c r="A210" s="65"/>
      <c r="B210" s="65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</row>
    <row r="211" spans="1:15" x14ac:dyDescent="0.25">
      <c r="A211" s="65"/>
      <c r="B211" s="65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</row>
    <row r="212" spans="1:15" x14ac:dyDescent="0.25">
      <c r="A212" s="65"/>
      <c r="B212" s="65"/>
      <c r="C212" s="65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</row>
    <row r="213" spans="1:15" x14ac:dyDescent="0.25">
      <c r="A213" s="65"/>
      <c r="B213" s="65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</row>
    <row r="214" spans="1:15" x14ac:dyDescent="0.25">
      <c r="A214" s="65"/>
      <c r="B214" s="65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</row>
    <row r="215" spans="1:15" x14ac:dyDescent="0.25">
      <c r="A215" s="65"/>
      <c r="B215" s="65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</row>
    <row r="216" spans="1:15" x14ac:dyDescent="0.25">
      <c r="A216" s="65"/>
      <c r="B216" s="65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</row>
    <row r="217" spans="1:15" x14ac:dyDescent="0.25">
      <c r="A217" s="65"/>
      <c r="B217" s="65"/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</row>
    <row r="218" spans="1:15" x14ac:dyDescent="0.25">
      <c r="A218" s="65"/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</row>
    <row r="219" spans="1:15" x14ac:dyDescent="0.25">
      <c r="A219" s="65"/>
      <c r="B219" s="65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</row>
    <row r="220" spans="1:15" x14ac:dyDescent="0.25">
      <c r="A220" s="65"/>
      <c r="B220" s="65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</row>
    <row r="221" spans="1:15" x14ac:dyDescent="0.25">
      <c r="A221" s="65"/>
      <c r="B221" s="65"/>
      <c r="C221" s="65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</row>
    <row r="222" spans="1:15" x14ac:dyDescent="0.25">
      <c r="A222" s="65"/>
      <c r="B222" s="65"/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</row>
    <row r="223" spans="1:15" x14ac:dyDescent="0.25">
      <c r="A223" s="65"/>
      <c r="B223" s="65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</row>
    <row r="224" spans="1:15" x14ac:dyDescent="0.25">
      <c r="A224" s="65"/>
      <c r="B224" s="65"/>
      <c r="C224" s="65"/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</row>
    <row r="225" spans="1:15" x14ac:dyDescent="0.25">
      <c r="A225" s="65"/>
      <c r="B225" s="65"/>
      <c r="C225" s="65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</row>
    <row r="226" spans="1:15" x14ac:dyDescent="0.25">
      <c r="A226" s="65"/>
      <c r="B226" s="65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</row>
    <row r="227" spans="1:15" x14ac:dyDescent="0.25">
      <c r="A227" s="65"/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</row>
    <row r="228" spans="1:15" x14ac:dyDescent="0.25">
      <c r="A228" s="65"/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</row>
    <row r="229" spans="1:15" x14ac:dyDescent="0.25">
      <c r="A229" s="65"/>
      <c r="B229" s="65"/>
      <c r="C229" s="65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</row>
    <row r="230" spans="1:15" x14ac:dyDescent="0.25">
      <c r="A230" s="65"/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</row>
    <row r="231" spans="1:15" x14ac:dyDescent="0.25">
      <c r="A231" s="65"/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</row>
    <row r="232" spans="1:15" x14ac:dyDescent="0.25">
      <c r="A232" s="65"/>
      <c r="B232" s="65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</row>
    <row r="233" spans="1:15" x14ac:dyDescent="0.25">
      <c r="A233" s="65"/>
      <c r="B233" s="65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</row>
    <row r="234" spans="1:15" x14ac:dyDescent="0.25">
      <c r="A234" s="65"/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</row>
    <row r="235" spans="1:15" x14ac:dyDescent="0.25">
      <c r="A235" s="65"/>
      <c r="B235" s="65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</row>
    <row r="236" spans="1:15" x14ac:dyDescent="0.25">
      <c r="A236" s="65"/>
      <c r="B236" s="65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</row>
    <row r="237" spans="1:15" x14ac:dyDescent="0.25">
      <c r="A237" s="65"/>
      <c r="B237" s="65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</row>
    <row r="238" spans="1:15" x14ac:dyDescent="0.25">
      <c r="A238" s="65"/>
      <c r="B238" s="65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</row>
    <row r="239" spans="1:15" x14ac:dyDescent="0.25">
      <c r="A239" s="65"/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</row>
    <row r="240" spans="1:15" x14ac:dyDescent="0.25">
      <c r="A240" s="65"/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</row>
    <row r="241" spans="1:15" x14ac:dyDescent="0.25">
      <c r="A241" s="65"/>
      <c r="B241" s="65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</row>
    <row r="242" spans="1:15" x14ac:dyDescent="0.25">
      <c r="A242" s="65"/>
      <c r="B242" s="65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</row>
    <row r="243" spans="1:15" x14ac:dyDescent="0.25">
      <c r="A243" s="65"/>
      <c r="B243" s="65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</row>
    <row r="244" spans="1:15" x14ac:dyDescent="0.25">
      <c r="A244" s="65"/>
      <c r="B244" s="65"/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</row>
    <row r="245" spans="1:15" x14ac:dyDescent="0.25">
      <c r="A245" s="65"/>
      <c r="B245" s="65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</row>
    <row r="246" spans="1:15" x14ac:dyDescent="0.25">
      <c r="A246" s="65"/>
      <c r="B246" s="65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</row>
    <row r="247" spans="1:15" x14ac:dyDescent="0.25">
      <c r="A247" s="65"/>
      <c r="B247" s="65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</row>
    <row r="248" spans="1:15" x14ac:dyDescent="0.25">
      <c r="A248" s="65"/>
      <c r="B248" s="65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</row>
    <row r="249" spans="1:15" x14ac:dyDescent="0.25">
      <c r="A249" s="65"/>
      <c r="B249" s="65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</row>
    <row r="250" spans="1:15" x14ac:dyDescent="0.25">
      <c r="A250" s="65"/>
      <c r="B250" s="65"/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</row>
    <row r="251" spans="1:15" x14ac:dyDescent="0.25">
      <c r="A251" s="65"/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</row>
    <row r="252" spans="1:15" x14ac:dyDescent="0.25">
      <c r="A252" s="65"/>
      <c r="B252" s="65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</row>
    <row r="253" spans="1:15" x14ac:dyDescent="0.25">
      <c r="A253" s="65"/>
      <c r="B253" s="65"/>
      <c r="C253" s="65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</row>
    <row r="254" spans="1:15" x14ac:dyDescent="0.25">
      <c r="A254" s="65"/>
      <c r="B254" s="65"/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</row>
    <row r="255" spans="1:15" x14ac:dyDescent="0.25">
      <c r="A255" s="65"/>
      <c r="B255" s="65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</row>
    <row r="256" spans="1:15" x14ac:dyDescent="0.25">
      <c r="A256" s="65"/>
      <c r="B256" s="65"/>
      <c r="C256" s="65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</row>
    <row r="257" spans="1:15" x14ac:dyDescent="0.25">
      <c r="A257" s="65"/>
      <c r="B257" s="65"/>
      <c r="C257" s="65"/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</row>
    <row r="258" spans="1:15" x14ac:dyDescent="0.25">
      <c r="A258" s="65"/>
      <c r="B258" s="65"/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</row>
    <row r="259" spans="1:15" x14ac:dyDescent="0.25">
      <c r="A259" s="65"/>
      <c r="B259" s="65"/>
      <c r="C259" s="65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</row>
    <row r="260" spans="1:15" x14ac:dyDescent="0.25">
      <c r="A260" s="65"/>
      <c r="B260" s="65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</row>
    <row r="261" spans="1:15" x14ac:dyDescent="0.25">
      <c r="A261" s="65"/>
      <c r="B261" s="65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</row>
    <row r="262" spans="1:15" x14ac:dyDescent="0.25">
      <c r="A262" s="65"/>
      <c r="B262" s="65"/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</row>
    <row r="263" spans="1:15" x14ac:dyDescent="0.25">
      <c r="A263" s="65"/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</row>
    <row r="264" spans="1:15" x14ac:dyDescent="0.25">
      <c r="A264" s="65"/>
      <c r="B264" s="65"/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</row>
    <row r="265" spans="1:15" x14ac:dyDescent="0.25">
      <c r="A265" s="65"/>
      <c r="B265" s="65"/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</row>
    <row r="266" spans="1:15" x14ac:dyDescent="0.25">
      <c r="A266" s="65"/>
      <c r="B266" s="65"/>
      <c r="C266" s="65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</row>
    <row r="267" spans="1:15" x14ac:dyDescent="0.25">
      <c r="A267" s="65"/>
      <c r="B267" s="65"/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</row>
    <row r="268" spans="1:15" x14ac:dyDescent="0.25">
      <c r="A268" s="65"/>
      <c r="B268" s="65"/>
      <c r="C268" s="65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</row>
    <row r="269" spans="1:15" x14ac:dyDescent="0.25">
      <c r="A269" s="65"/>
      <c r="B269" s="65"/>
      <c r="C269" s="65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</row>
    <row r="270" spans="1:15" x14ac:dyDescent="0.25">
      <c r="A270" s="65"/>
      <c r="B270" s="65"/>
      <c r="C270" s="65"/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</row>
    <row r="271" spans="1:15" x14ac:dyDescent="0.25">
      <c r="A271" s="65"/>
      <c r="B271" s="65"/>
      <c r="C271" s="65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</row>
    <row r="272" spans="1:15" x14ac:dyDescent="0.25">
      <c r="A272" s="65"/>
      <c r="B272" s="65"/>
      <c r="C272" s="65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</row>
    <row r="273" spans="1:15" x14ac:dyDescent="0.25">
      <c r="A273" s="65"/>
      <c r="B273" s="65"/>
      <c r="C273" s="65"/>
      <c r="D273" s="65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</row>
    <row r="274" spans="1:15" x14ac:dyDescent="0.25">
      <c r="A274" s="65"/>
      <c r="B274" s="65"/>
      <c r="C274" s="65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</row>
    <row r="275" spans="1:15" x14ac:dyDescent="0.25">
      <c r="A275" s="65"/>
      <c r="B275" s="65"/>
      <c r="C275" s="65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</row>
    <row r="276" spans="1:15" x14ac:dyDescent="0.25">
      <c r="A276" s="65"/>
      <c r="B276" s="65"/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</row>
    <row r="277" spans="1:15" x14ac:dyDescent="0.25">
      <c r="A277" s="65"/>
      <c r="B277" s="65"/>
      <c r="C277" s="65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</row>
    <row r="278" spans="1:15" x14ac:dyDescent="0.25">
      <c r="A278" s="65"/>
      <c r="B278" s="65"/>
      <c r="C278" s="65"/>
      <c r="D278" s="65"/>
      <c r="E278" s="65"/>
      <c r="F278" s="65"/>
      <c r="G278" s="65"/>
      <c r="H278" s="65"/>
      <c r="I278" s="65"/>
      <c r="J278" s="65"/>
      <c r="K278" s="65"/>
      <c r="L278" s="65"/>
      <c r="M278" s="65"/>
      <c r="N278" s="65"/>
      <c r="O278" s="65"/>
    </row>
    <row r="279" spans="1:15" x14ac:dyDescent="0.25">
      <c r="A279" s="65"/>
      <c r="B279" s="65"/>
      <c r="C279" s="65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</row>
    <row r="280" spans="1:15" x14ac:dyDescent="0.25">
      <c r="A280" s="65"/>
      <c r="B280" s="65"/>
      <c r="C280" s="65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</row>
    <row r="281" spans="1:15" x14ac:dyDescent="0.25">
      <c r="A281" s="65"/>
      <c r="B281" s="65"/>
      <c r="C281" s="65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</row>
    <row r="282" spans="1:15" x14ac:dyDescent="0.25">
      <c r="A282" s="65"/>
      <c r="B282" s="65"/>
      <c r="C282" s="65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</row>
    <row r="283" spans="1:15" x14ac:dyDescent="0.25">
      <c r="A283" s="65"/>
      <c r="B283" s="65"/>
      <c r="C283" s="65"/>
      <c r="D283" s="65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</row>
    <row r="284" spans="1:15" x14ac:dyDescent="0.25">
      <c r="A284" s="65"/>
      <c r="B284" s="65"/>
      <c r="C284" s="65"/>
      <c r="D284" s="65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</row>
    <row r="285" spans="1:15" x14ac:dyDescent="0.25">
      <c r="A285" s="65"/>
      <c r="B285" s="65"/>
      <c r="C285" s="65"/>
      <c r="D285" s="65"/>
      <c r="E285" s="65"/>
      <c r="F285" s="65"/>
      <c r="G285" s="65"/>
      <c r="H285" s="65"/>
      <c r="I285" s="65"/>
      <c r="J285" s="65"/>
      <c r="K285" s="65"/>
      <c r="L285" s="65"/>
      <c r="M285" s="65"/>
      <c r="N285" s="65"/>
      <c r="O285" s="65"/>
    </row>
    <row r="286" spans="1:15" x14ac:dyDescent="0.25">
      <c r="A286" s="65"/>
      <c r="B286" s="65"/>
      <c r="C286" s="65"/>
      <c r="D286" s="65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</row>
    <row r="287" spans="1:15" x14ac:dyDescent="0.25">
      <c r="A287" s="65"/>
      <c r="B287" s="65"/>
      <c r="C287" s="65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</row>
    <row r="288" spans="1:15" x14ac:dyDescent="0.25">
      <c r="A288" s="65"/>
      <c r="B288" s="65"/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</row>
    <row r="289" spans="1:15" x14ac:dyDescent="0.25">
      <c r="A289" s="65"/>
      <c r="B289" s="65"/>
      <c r="C289" s="65"/>
      <c r="D289" s="65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</row>
    <row r="290" spans="1:15" x14ac:dyDescent="0.25">
      <c r="A290" s="65"/>
      <c r="B290" s="65"/>
      <c r="C290" s="65"/>
      <c r="D290" s="65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</row>
    <row r="291" spans="1:15" x14ac:dyDescent="0.25">
      <c r="A291" s="65"/>
      <c r="B291" s="65"/>
      <c r="C291" s="65"/>
      <c r="D291" s="65"/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</row>
    <row r="292" spans="1:15" x14ac:dyDescent="0.25">
      <c r="A292" s="65"/>
      <c r="B292" s="65"/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</row>
    <row r="293" spans="1:15" x14ac:dyDescent="0.25">
      <c r="A293" s="65"/>
      <c r="B293" s="65"/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</row>
    <row r="294" spans="1:15" x14ac:dyDescent="0.25">
      <c r="A294" s="65"/>
      <c r="B294" s="65"/>
      <c r="C294" s="65"/>
      <c r="D294" s="65"/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</row>
    <row r="295" spans="1:15" x14ac:dyDescent="0.25">
      <c r="A295" s="65"/>
      <c r="B295" s="65"/>
      <c r="C295" s="65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</row>
    <row r="296" spans="1:15" x14ac:dyDescent="0.25">
      <c r="A296" s="65"/>
      <c r="B296" s="65"/>
      <c r="C296" s="65"/>
      <c r="D296" s="65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</row>
    <row r="297" spans="1:15" x14ac:dyDescent="0.25">
      <c r="A297" s="65"/>
      <c r="B297" s="65"/>
      <c r="C297" s="65"/>
      <c r="D297" s="65"/>
      <c r="E297" s="65"/>
      <c r="F297" s="65"/>
      <c r="G297" s="65"/>
      <c r="H297" s="65"/>
      <c r="I297" s="65"/>
      <c r="J297" s="65"/>
      <c r="K297" s="65"/>
      <c r="L297" s="65"/>
      <c r="M297" s="65"/>
      <c r="N297" s="65"/>
      <c r="O297" s="65"/>
    </row>
    <row r="298" spans="1:15" x14ac:dyDescent="0.25">
      <c r="A298" s="65"/>
      <c r="B298" s="65"/>
      <c r="C298" s="65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</row>
    <row r="299" spans="1:15" x14ac:dyDescent="0.25">
      <c r="A299" s="65"/>
      <c r="B299" s="65"/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</row>
    <row r="300" spans="1:15" x14ac:dyDescent="0.25">
      <c r="A300" s="65"/>
      <c r="B300" s="65"/>
      <c r="C300" s="65"/>
      <c r="D300" s="65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</row>
    <row r="301" spans="1:15" x14ac:dyDescent="0.25">
      <c r="A301" s="65"/>
      <c r="B301" s="65"/>
      <c r="C301" s="65"/>
      <c r="D301" s="65"/>
      <c r="E301" s="65"/>
      <c r="F301" s="65"/>
      <c r="G301" s="65"/>
      <c r="H301" s="65"/>
      <c r="I301" s="65"/>
      <c r="J301" s="65"/>
      <c r="K301" s="65"/>
      <c r="L301" s="65"/>
      <c r="M301" s="65"/>
      <c r="N301" s="65"/>
      <c r="O301" s="65"/>
    </row>
    <row r="302" spans="1:15" x14ac:dyDescent="0.25">
      <c r="A302" s="65"/>
      <c r="B302" s="65"/>
      <c r="C302" s="65"/>
      <c r="D302" s="65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</row>
    <row r="303" spans="1:15" x14ac:dyDescent="0.25">
      <c r="A303" s="65"/>
      <c r="B303" s="65"/>
      <c r="C303" s="65"/>
      <c r="D303" s="65"/>
      <c r="E303" s="65"/>
      <c r="F303" s="65"/>
      <c r="G303" s="65"/>
      <c r="H303" s="65"/>
      <c r="I303" s="65"/>
      <c r="J303" s="65"/>
      <c r="K303" s="65"/>
      <c r="L303" s="65"/>
      <c r="M303" s="65"/>
      <c r="N303" s="65"/>
      <c r="O303" s="65"/>
    </row>
    <row r="304" spans="1:15" x14ac:dyDescent="0.25">
      <c r="A304" s="65"/>
      <c r="B304" s="65"/>
      <c r="C304" s="65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</row>
    <row r="305" spans="1:15" x14ac:dyDescent="0.25">
      <c r="A305" s="65"/>
      <c r="B305" s="65"/>
      <c r="C305" s="65"/>
      <c r="D305" s="65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</row>
    <row r="306" spans="1:15" x14ac:dyDescent="0.25">
      <c r="A306" s="65"/>
      <c r="B306" s="65"/>
      <c r="C306" s="65"/>
      <c r="D306" s="65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</row>
    <row r="307" spans="1:15" x14ac:dyDescent="0.25">
      <c r="A307" s="65"/>
      <c r="B307" s="65"/>
      <c r="C307" s="65"/>
      <c r="D307" s="65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</row>
    <row r="308" spans="1:15" x14ac:dyDescent="0.25">
      <c r="A308" s="65"/>
      <c r="B308" s="65"/>
      <c r="C308" s="65"/>
      <c r="D308" s="65"/>
      <c r="E308" s="65"/>
      <c r="F308" s="65"/>
      <c r="G308" s="65"/>
      <c r="H308" s="65"/>
      <c r="I308" s="65"/>
      <c r="J308" s="65"/>
      <c r="K308" s="65"/>
      <c r="L308" s="65"/>
      <c r="M308" s="65"/>
      <c r="N308" s="65"/>
      <c r="O308" s="65"/>
    </row>
    <row r="309" spans="1:15" x14ac:dyDescent="0.25">
      <c r="A309" s="65"/>
      <c r="B309" s="65"/>
      <c r="C309" s="65"/>
      <c r="D309" s="65"/>
      <c r="E309" s="65"/>
      <c r="F309" s="65"/>
      <c r="G309" s="65"/>
      <c r="H309" s="65"/>
      <c r="I309" s="65"/>
      <c r="J309" s="65"/>
      <c r="K309" s="65"/>
      <c r="L309" s="65"/>
      <c r="M309" s="65"/>
      <c r="N309" s="65"/>
      <c r="O309" s="65"/>
    </row>
    <row r="310" spans="1:15" x14ac:dyDescent="0.25">
      <c r="A310" s="65"/>
      <c r="B310" s="65"/>
      <c r="C310" s="65"/>
      <c r="D310" s="65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</row>
    <row r="311" spans="1:15" x14ac:dyDescent="0.25">
      <c r="A311" s="65"/>
      <c r="B311" s="65"/>
      <c r="C311" s="65"/>
      <c r="D311" s="65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</row>
    <row r="312" spans="1:15" x14ac:dyDescent="0.25">
      <c r="A312" s="65"/>
      <c r="B312" s="65"/>
      <c r="C312" s="65"/>
      <c r="D312" s="65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</row>
    <row r="313" spans="1:15" x14ac:dyDescent="0.25">
      <c r="A313" s="65"/>
      <c r="B313" s="65"/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</row>
    <row r="314" spans="1:15" x14ac:dyDescent="0.25">
      <c r="A314" s="65"/>
      <c r="B314" s="65"/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</row>
    <row r="315" spans="1:15" x14ac:dyDescent="0.25">
      <c r="A315" s="65"/>
      <c r="B315" s="65"/>
      <c r="C315" s="65"/>
      <c r="D315" s="65"/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</row>
    <row r="316" spans="1:15" x14ac:dyDescent="0.25">
      <c r="A316" s="65"/>
      <c r="B316" s="65"/>
      <c r="C316" s="65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</row>
    <row r="317" spans="1:15" x14ac:dyDescent="0.25">
      <c r="A317" s="65"/>
      <c r="B317" s="65"/>
      <c r="C317" s="65"/>
      <c r="D317" s="65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</row>
    <row r="318" spans="1:15" x14ac:dyDescent="0.25">
      <c r="A318" s="65"/>
      <c r="B318" s="65"/>
      <c r="C318" s="65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</row>
    <row r="319" spans="1:15" x14ac:dyDescent="0.25">
      <c r="A319" s="65"/>
      <c r="B319" s="65"/>
      <c r="C319" s="65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</row>
    <row r="320" spans="1:15" x14ac:dyDescent="0.25">
      <c r="A320" s="65"/>
      <c r="B320" s="65"/>
      <c r="C320" s="65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</row>
    <row r="321" spans="1:15" x14ac:dyDescent="0.25">
      <c r="A321" s="65"/>
      <c r="B321" s="65"/>
      <c r="C321" s="65"/>
      <c r="D321" s="65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65"/>
    </row>
    <row r="322" spans="1:15" x14ac:dyDescent="0.25">
      <c r="A322" s="65"/>
      <c r="B322" s="65"/>
      <c r="C322" s="65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</row>
    <row r="323" spans="1:15" x14ac:dyDescent="0.25">
      <c r="A323" s="65"/>
      <c r="B323" s="65"/>
      <c r="C323" s="65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</row>
    <row r="324" spans="1:15" x14ac:dyDescent="0.25">
      <c r="A324" s="65"/>
      <c r="B324" s="65"/>
      <c r="C324" s="65"/>
      <c r="D324" s="65"/>
      <c r="E324" s="65"/>
      <c r="F324" s="65"/>
      <c r="G324" s="65"/>
      <c r="H324" s="65"/>
      <c r="I324" s="65"/>
      <c r="J324" s="65"/>
      <c r="K324" s="65"/>
      <c r="L324" s="65"/>
      <c r="M324" s="65"/>
      <c r="N324" s="65"/>
      <c r="O324" s="65"/>
    </row>
    <row r="325" spans="1:15" x14ac:dyDescent="0.25">
      <c r="A325" s="65"/>
      <c r="B325" s="65"/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</row>
    <row r="326" spans="1:15" x14ac:dyDescent="0.25">
      <c r="A326" s="65"/>
      <c r="B326" s="65"/>
      <c r="C326" s="65"/>
      <c r="D326" s="65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</row>
    <row r="327" spans="1:15" x14ac:dyDescent="0.25">
      <c r="A327" s="65"/>
      <c r="B327" s="65"/>
      <c r="C327" s="65"/>
      <c r="D327" s="65"/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</row>
    <row r="328" spans="1:15" x14ac:dyDescent="0.25">
      <c r="A328" s="65"/>
      <c r="B328" s="65"/>
      <c r="C328" s="65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</row>
    <row r="329" spans="1:15" x14ac:dyDescent="0.25">
      <c r="A329" s="65"/>
      <c r="B329" s="65"/>
      <c r="C329" s="65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</row>
    <row r="330" spans="1:15" x14ac:dyDescent="0.25">
      <c r="A330" s="65"/>
      <c r="B330" s="65"/>
      <c r="C330" s="65"/>
      <c r="D330" s="65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</row>
    <row r="331" spans="1:15" x14ac:dyDescent="0.25">
      <c r="A331" s="65"/>
      <c r="B331" s="65"/>
      <c r="C331" s="65"/>
      <c r="D331" s="65"/>
      <c r="E331" s="65"/>
      <c r="F331" s="65"/>
      <c r="G331" s="65"/>
      <c r="H331" s="65"/>
      <c r="I331" s="65"/>
      <c r="J331" s="65"/>
      <c r="K331" s="65"/>
      <c r="L331" s="65"/>
      <c r="M331" s="65"/>
      <c r="N331" s="65"/>
      <c r="O331" s="65"/>
    </row>
    <row r="332" spans="1:15" x14ac:dyDescent="0.25">
      <c r="A332" s="65"/>
      <c r="B332" s="65"/>
      <c r="C332" s="65"/>
      <c r="D332" s="65"/>
      <c r="E332" s="65"/>
      <c r="F332" s="65"/>
      <c r="G332" s="65"/>
      <c r="H332" s="65"/>
      <c r="I332" s="65"/>
      <c r="J332" s="65"/>
      <c r="K332" s="65"/>
      <c r="L332" s="65"/>
      <c r="M332" s="65"/>
      <c r="N332" s="65"/>
      <c r="O332" s="65"/>
    </row>
    <row r="333" spans="1:15" x14ac:dyDescent="0.25">
      <c r="A333" s="65"/>
      <c r="B333" s="65"/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</row>
    <row r="334" spans="1:15" x14ac:dyDescent="0.25">
      <c r="A334" s="65"/>
      <c r="B334" s="65"/>
      <c r="C334" s="65"/>
      <c r="D334" s="65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</row>
    <row r="335" spans="1:15" x14ac:dyDescent="0.25">
      <c r="A335" s="65"/>
      <c r="B335" s="65"/>
      <c r="C335" s="65"/>
      <c r="D335" s="65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</row>
    <row r="336" spans="1:15" x14ac:dyDescent="0.25">
      <c r="A336" s="65"/>
      <c r="B336" s="65"/>
      <c r="C336" s="65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  <c r="O336" s="65"/>
    </row>
    <row r="337" spans="1:15" x14ac:dyDescent="0.25">
      <c r="A337" s="65"/>
      <c r="B337" s="65"/>
      <c r="C337" s="65"/>
      <c r="D337" s="65"/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</row>
    <row r="338" spans="1:15" x14ac:dyDescent="0.25">
      <c r="A338" s="65"/>
      <c r="B338" s="65"/>
      <c r="C338" s="65"/>
      <c r="D338" s="65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</row>
    <row r="339" spans="1:15" x14ac:dyDescent="0.25">
      <c r="A339" s="65"/>
      <c r="B339" s="65"/>
      <c r="C339" s="65"/>
      <c r="D339" s="65"/>
      <c r="E339" s="65"/>
      <c r="F339" s="65"/>
      <c r="G339" s="65"/>
      <c r="H339" s="65"/>
      <c r="I339" s="65"/>
      <c r="J339" s="65"/>
      <c r="K339" s="65"/>
      <c r="L339" s="65"/>
      <c r="M339" s="65"/>
      <c r="N339" s="65"/>
      <c r="O339" s="65"/>
    </row>
    <row r="340" spans="1:15" x14ac:dyDescent="0.25">
      <c r="A340" s="65"/>
      <c r="B340" s="65"/>
      <c r="C340" s="65"/>
      <c r="D340" s="65"/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</row>
    <row r="341" spans="1:15" x14ac:dyDescent="0.25">
      <c r="A341" s="65"/>
      <c r="B341" s="65"/>
      <c r="C341" s="65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</row>
    <row r="342" spans="1:15" x14ac:dyDescent="0.25">
      <c r="A342" s="65"/>
      <c r="B342" s="65"/>
      <c r="C342" s="65"/>
      <c r="D342" s="65"/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</row>
    <row r="343" spans="1:15" x14ac:dyDescent="0.25">
      <c r="A343" s="65"/>
      <c r="B343" s="65"/>
      <c r="C343" s="65"/>
      <c r="D343" s="65"/>
      <c r="E343" s="65"/>
      <c r="F343" s="65"/>
      <c r="G343" s="65"/>
      <c r="H343" s="65"/>
      <c r="I343" s="65"/>
      <c r="J343" s="65"/>
      <c r="K343" s="65"/>
      <c r="L343" s="65"/>
      <c r="M343" s="65"/>
      <c r="N343" s="65"/>
      <c r="O343" s="65"/>
    </row>
    <row r="344" spans="1:15" x14ac:dyDescent="0.25">
      <c r="A344" s="65"/>
      <c r="B344" s="65"/>
      <c r="C344" s="65"/>
      <c r="D344" s="65"/>
      <c r="E344" s="65"/>
      <c r="F344" s="65"/>
      <c r="G344" s="65"/>
      <c r="H344" s="65"/>
      <c r="I344" s="65"/>
      <c r="J344" s="65"/>
      <c r="K344" s="65"/>
      <c r="L344" s="65"/>
      <c r="M344" s="65"/>
      <c r="N344" s="65"/>
      <c r="O344" s="65"/>
    </row>
    <row r="345" spans="1:15" x14ac:dyDescent="0.25">
      <c r="A345" s="65"/>
      <c r="B345" s="65"/>
      <c r="C345" s="65"/>
      <c r="D345" s="65"/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</row>
    <row r="346" spans="1:15" x14ac:dyDescent="0.25">
      <c r="A346" s="65"/>
      <c r="B346" s="65"/>
      <c r="C346" s="65"/>
      <c r="D346" s="65"/>
      <c r="E346" s="65"/>
      <c r="F346" s="65"/>
      <c r="G346" s="65"/>
      <c r="H346" s="65"/>
      <c r="I346" s="65"/>
      <c r="J346" s="65"/>
      <c r="K346" s="65"/>
      <c r="L346" s="65"/>
      <c r="M346" s="65"/>
      <c r="N346" s="65"/>
      <c r="O346" s="65"/>
    </row>
    <row r="347" spans="1:15" x14ac:dyDescent="0.25">
      <c r="A347" s="65"/>
      <c r="B347" s="65"/>
      <c r="C347" s="65"/>
      <c r="D347" s="65"/>
      <c r="E347" s="65"/>
      <c r="F347" s="65"/>
      <c r="G347" s="65"/>
      <c r="H347" s="65"/>
      <c r="I347" s="65"/>
      <c r="J347" s="65"/>
      <c r="K347" s="65"/>
      <c r="L347" s="65"/>
      <c r="M347" s="65"/>
      <c r="N347" s="65"/>
      <c r="O347" s="65"/>
    </row>
    <row r="348" spans="1:15" x14ac:dyDescent="0.25">
      <c r="A348" s="65"/>
      <c r="B348" s="65"/>
      <c r="C348" s="65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</row>
    <row r="349" spans="1:15" x14ac:dyDescent="0.25">
      <c r="A349" s="65"/>
      <c r="B349" s="65"/>
      <c r="C349" s="65"/>
      <c r="D349" s="65"/>
      <c r="E349" s="65"/>
      <c r="F349" s="65"/>
      <c r="G349" s="65"/>
      <c r="H349" s="65"/>
      <c r="I349" s="65"/>
      <c r="J349" s="65"/>
      <c r="K349" s="65"/>
      <c r="L349" s="65"/>
      <c r="M349" s="65"/>
      <c r="N349" s="65"/>
      <c r="O349" s="65"/>
    </row>
    <row r="350" spans="1:15" x14ac:dyDescent="0.25">
      <c r="A350" s="65"/>
      <c r="B350" s="65"/>
      <c r="C350" s="65"/>
      <c r="D350" s="65"/>
      <c r="E350" s="65"/>
      <c r="F350" s="65"/>
      <c r="G350" s="65"/>
      <c r="H350" s="65"/>
      <c r="I350" s="65"/>
      <c r="J350" s="65"/>
      <c r="K350" s="65"/>
      <c r="L350" s="65"/>
      <c r="M350" s="65"/>
      <c r="N350" s="65"/>
      <c r="O350" s="65"/>
    </row>
    <row r="351" spans="1:15" x14ac:dyDescent="0.25">
      <c r="A351" s="65"/>
      <c r="B351" s="65"/>
      <c r="C351" s="65"/>
      <c r="D351" s="65"/>
      <c r="E351" s="65"/>
      <c r="F351" s="65"/>
      <c r="G351" s="65"/>
      <c r="H351" s="65"/>
      <c r="I351" s="65"/>
      <c r="J351" s="65"/>
      <c r="K351" s="65"/>
      <c r="L351" s="65"/>
      <c r="M351" s="65"/>
      <c r="N351" s="65"/>
      <c r="O351" s="65"/>
    </row>
    <row r="352" spans="1:15" x14ac:dyDescent="0.25">
      <c r="A352" s="65"/>
      <c r="B352" s="65"/>
      <c r="C352" s="65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</row>
    <row r="353" spans="1:15" x14ac:dyDescent="0.25">
      <c r="A353" s="65"/>
      <c r="B353" s="65"/>
      <c r="C353" s="65"/>
      <c r="D353" s="65"/>
      <c r="E353" s="65"/>
      <c r="F353" s="65"/>
      <c r="G353" s="65"/>
      <c r="H353" s="65"/>
      <c r="I353" s="65"/>
      <c r="J353" s="65"/>
      <c r="K353" s="65"/>
      <c r="L353" s="65"/>
      <c r="M353" s="65"/>
      <c r="N353" s="65"/>
      <c r="O353" s="65"/>
    </row>
    <row r="354" spans="1:15" x14ac:dyDescent="0.25">
      <c r="A354" s="65"/>
      <c r="B354" s="65"/>
      <c r="C354" s="65"/>
      <c r="D354" s="65"/>
      <c r="E354" s="65"/>
      <c r="F354" s="65"/>
      <c r="G354" s="65"/>
      <c r="H354" s="65"/>
      <c r="I354" s="65"/>
      <c r="J354" s="65"/>
      <c r="K354" s="65"/>
      <c r="L354" s="65"/>
      <c r="M354" s="65"/>
      <c r="N354" s="65"/>
      <c r="O354" s="65"/>
    </row>
    <row r="355" spans="1:15" x14ac:dyDescent="0.25">
      <c r="A355" s="65"/>
      <c r="B355" s="65"/>
      <c r="C355" s="65"/>
      <c r="D355" s="65"/>
      <c r="E355" s="65"/>
      <c r="F355" s="65"/>
      <c r="G355" s="65"/>
      <c r="H355" s="65"/>
      <c r="I355" s="65"/>
      <c r="J355" s="65"/>
      <c r="K355" s="65"/>
      <c r="L355" s="65"/>
      <c r="M355" s="65"/>
      <c r="N355" s="65"/>
      <c r="O355" s="65"/>
    </row>
    <row r="356" spans="1:15" x14ac:dyDescent="0.25">
      <c r="A356" s="65"/>
      <c r="B356" s="65"/>
      <c r="C356" s="65"/>
      <c r="D356" s="65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</row>
    <row r="357" spans="1:15" x14ac:dyDescent="0.25">
      <c r="A357" s="65"/>
      <c r="B357" s="65"/>
      <c r="C357" s="65"/>
      <c r="D357" s="65"/>
      <c r="E357" s="65"/>
      <c r="F357" s="65"/>
      <c r="G357" s="65"/>
      <c r="H357" s="65"/>
      <c r="I357" s="65"/>
      <c r="J357" s="65"/>
      <c r="K357" s="65"/>
      <c r="L357" s="65"/>
      <c r="M357" s="65"/>
      <c r="N357" s="65"/>
      <c r="O357" s="65"/>
    </row>
    <row r="358" spans="1:15" x14ac:dyDescent="0.25">
      <c r="A358" s="65"/>
      <c r="B358" s="65"/>
      <c r="C358" s="65"/>
      <c r="D358" s="65"/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</row>
    <row r="359" spans="1:15" x14ac:dyDescent="0.25">
      <c r="A359" s="65"/>
      <c r="B359" s="65"/>
      <c r="C359" s="65"/>
      <c r="D359" s="65"/>
      <c r="E359" s="65"/>
      <c r="F359" s="65"/>
      <c r="G359" s="65"/>
      <c r="H359" s="65"/>
      <c r="I359" s="65"/>
      <c r="J359" s="65"/>
      <c r="K359" s="65"/>
      <c r="L359" s="65"/>
      <c r="M359" s="65"/>
      <c r="N359" s="65"/>
      <c r="O359" s="65"/>
    </row>
    <row r="360" spans="1:15" x14ac:dyDescent="0.25">
      <c r="A360" s="65"/>
      <c r="B360" s="65"/>
      <c r="C360" s="65"/>
      <c r="D360" s="65"/>
      <c r="E360" s="65"/>
      <c r="F360" s="65"/>
      <c r="G360" s="65"/>
      <c r="H360" s="65"/>
      <c r="I360" s="65"/>
      <c r="J360" s="65"/>
      <c r="K360" s="65"/>
      <c r="L360" s="65"/>
      <c r="M360" s="65"/>
      <c r="N360" s="65"/>
      <c r="O360" s="65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8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4" workbookViewId="0">
      <selection activeCell="J23" sqref="J23"/>
    </sheetView>
  </sheetViews>
  <sheetFormatPr defaultRowHeight="15" x14ac:dyDescent="0.25"/>
  <cols>
    <col min="1" max="1" width="9.140625" style="60"/>
    <col min="2" max="2" width="28" style="60" customWidth="1"/>
    <col min="3" max="3" width="24.140625" style="60" customWidth="1"/>
    <col min="4" max="4" width="20" style="60" customWidth="1"/>
    <col min="5" max="5" width="15.85546875" style="60" customWidth="1"/>
    <col min="6" max="16384" width="9.140625" style="60"/>
  </cols>
  <sheetData>
    <row r="1" spans="1:6" ht="18.75" x14ac:dyDescent="0.25">
      <c r="A1" s="33"/>
      <c r="B1" s="2"/>
      <c r="C1" s="2"/>
      <c r="D1" s="2"/>
      <c r="E1" s="2"/>
      <c r="F1" s="34" t="s">
        <v>58</v>
      </c>
    </row>
    <row r="2" spans="1:6" ht="18.75" x14ac:dyDescent="0.3">
      <c r="A2" s="33"/>
      <c r="B2" s="2"/>
      <c r="C2" s="2"/>
      <c r="D2" s="2"/>
      <c r="E2" s="2"/>
      <c r="F2" s="35" t="s">
        <v>7</v>
      </c>
    </row>
    <row r="3" spans="1:6" ht="18.75" x14ac:dyDescent="0.3">
      <c r="A3" s="36"/>
      <c r="B3" s="2"/>
      <c r="C3" s="2"/>
      <c r="D3" s="2"/>
      <c r="E3" s="2"/>
      <c r="F3" s="35" t="s">
        <v>57</v>
      </c>
    </row>
    <row r="4" spans="1:6" ht="15.75" x14ac:dyDescent="0.25">
      <c r="A4" s="36"/>
      <c r="B4" s="2"/>
      <c r="C4" s="2"/>
      <c r="D4" s="2"/>
      <c r="E4" s="2"/>
      <c r="F4" s="2"/>
    </row>
    <row r="5" spans="1:6" ht="15.75" x14ac:dyDescent="0.25">
      <c r="A5" s="224" t="str">
        <f>'1. паспорт местоположение'!$A$5</f>
        <v>Год раскрытия информации: 2019 год</v>
      </c>
      <c r="B5" s="224"/>
      <c r="C5" s="224"/>
      <c r="D5" s="224"/>
      <c r="E5" s="224"/>
      <c r="F5" s="224"/>
    </row>
    <row r="6" spans="1:6" ht="15.75" x14ac:dyDescent="0.25">
      <c r="A6" s="37"/>
      <c r="B6" s="38"/>
      <c r="C6" s="38"/>
      <c r="D6" s="38"/>
      <c r="E6" s="38"/>
      <c r="F6" s="38"/>
    </row>
    <row r="7" spans="1:6" ht="18.75" x14ac:dyDescent="0.25">
      <c r="A7" s="228" t="s">
        <v>6</v>
      </c>
      <c r="B7" s="228"/>
      <c r="C7" s="228"/>
      <c r="D7" s="228"/>
      <c r="E7" s="228"/>
      <c r="F7" s="228"/>
    </row>
    <row r="8" spans="1:6" ht="18.75" x14ac:dyDescent="0.25">
      <c r="A8" s="79"/>
      <c r="B8" s="79"/>
      <c r="C8" s="79"/>
      <c r="D8" s="79"/>
      <c r="E8" s="79"/>
      <c r="F8" s="79"/>
    </row>
    <row r="9" spans="1:6" ht="15.75" x14ac:dyDescent="0.25">
      <c r="A9" s="229" t="s">
        <v>289</v>
      </c>
      <c r="B9" s="229"/>
      <c r="C9" s="229"/>
      <c r="D9" s="229"/>
      <c r="E9" s="229"/>
      <c r="F9" s="229"/>
    </row>
    <row r="10" spans="1:6" ht="15.75" x14ac:dyDescent="0.25">
      <c r="A10" s="230" t="s">
        <v>5</v>
      </c>
      <c r="B10" s="230"/>
      <c r="C10" s="230"/>
      <c r="D10" s="230"/>
      <c r="E10" s="230"/>
      <c r="F10" s="230"/>
    </row>
    <row r="11" spans="1:6" ht="18.75" x14ac:dyDescent="0.25">
      <c r="A11" s="79"/>
      <c r="B11" s="79"/>
      <c r="C11" s="79"/>
      <c r="D11" s="79"/>
      <c r="E11" s="79"/>
      <c r="F11" s="79"/>
    </row>
    <row r="12" spans="1:6" ht="15.75" x14ac:dyDescent="0.25">
      <c r="A12" s="229" t="s">
        <v>471</v>
      </c>
      <c r="B12" s="229"/>
      <c r="C12" s="229"/>
      <c r="D12" s="229"/>
      <c r="E12" s="229"/>
      <c r="F12" s="229"/>
    </row>
    <row r="13" spans="1:6" ht="15.75" x14ac:dyDescent="0.25">
      <c r="A13" s="230" t="s">
        <v>4</v>
      </c>
      <c r="B13" s="230"/>
      <c r="C13" s="230"/>
      <c r="D13" s="230"/>
      <c r="E13" s="230"/>
      <c r="F13" s="230"/>
    </row>
    <row r="14" spans="1:6" ht="18.75" x14ac:dyDescent="0.25">
      <c r="A14" s="80"/>
      <c r="B14" s="80"/>
      <c r="C14" s="80"/>
      <c r="D14" s="80"/>
      <c r="E14" s="80"/>
      <c r="F14" s="80"/>
    </row>
    <row r="15" spans="1:6" ht="61.5" customHeight="1" x14ac:dyDescent="0.25">
      <c r="A15" s="231" t="str">
        <f>'1. паспорт местоположение'!A15:C15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5" s="231"/>
      <c r="C15" s="231"/>
      <c r="D15" s="231"/>
      <c r="E15" s="231"/>
      <c r="F15" s="231"/>
    </row>
    <row r="16" spans="1:6" ht="15.75" x14ac:dyDescent="0.25">
      <c r="A16" s="230" t="s">
        <v>3</v>
      </c>
      <c r="B16" s="230"/>
      <c r="C16" s="230"/>
      <c r="D16" s="230"/>
      <c r="E16" s="230"/>
      <c r="F16" s="230"/>
    </row>
    <row r="17" spans="1:6" ht="18.75" x14ac:dyDescent="0.25">
      <c r="A17" s="78"/>
      <c r="B17" s="78"/>
      <c r="C17" s="78"/>
      <c r="D17" s="78"/>
      <c r="E17" s="78"/>
      <c r="F17" s="78"/>
    </row>
    <row r="18" spans="1:6" ht="18.75" x14ac:dyDescent="0.25">
      <c r="A18" s="247" t="s">
        <v>316</v>
      </c>
      <c r="B18" s="247"/>
      <c r="C18" s="247"/>
      <c r="D18" s="247"/>
      <c r="E18" s="247"/>
      <c r="F18" s="247"/>
    </row>
    <row r="19" spans="1:6" x14ac:dyDescent="0.25">
      <c r="A19" s="39"/>
      <c r="B19" s="39"/>
      <c r="C19" s="39"/>
      <c r="D19" s="39"/>
      <c r="E19" s="39"/>
      <c r="F19" s="39"/>
    </row>
    <row r="20" spans="1:6" ht="15.75" thickBot="1" x14ac:dyDescent="0.3">
      <c r="A20" s="39"/>
      <c r="B20" s="39"/>
      <c r="C20" s="39"/>
      <c r="D20" s="39"/>
      <c r="E20" s="39"/>
      <c r="F20" s="39"/>
    </row>
    <row r="21" spans="1:6" ht="15.75" x14ac:dyDescent="0.25">
      <c r="A21" s="39"/>
      <c r="B21" s="270" t="s">
        <v>317</v>
      </c>
      <c r="C21" s="271"/>
      <c r="D21" s="271"/>
      <c r="E21" s="272"/>
      <c r="F21" s="39"/>
    </row>
    <row r="22" spans="1:6" ht="15.75" x14ac:dyDescent="0.25">
      <c r="A22" s="39"/>
      <c r="B22" s="267" t="s">
        <v>318</v>
      </c>
      <c r="C22" s="268"/>
      <c r="D22" s="268" t="s">
        <v>319</v>
      </c>
      <c r="E22" s="269"/>
      <c r="F22" s="39"/>
    </row>
    <row r="23" spans="1:6" ht="173.25" x14ac:dyDescent="0.25">
      <c r="A23" s="39"/>
      <c r="B23" s="151" t="s">
        <v>320</v>
      </c>
      <c r="C23" s="152" t="s">
        <v>519</v>
      </c>
      <c r="D23" s="152" t="s">
        <v>321</v>
      </c>
      <c r="E23" s="153" t="s">
        <v>322</v>
      </c>
      <c r="F23" s="39"/>
    </row>
    <row r="24" spans="1:6" ht="15.75" x14ac:dyDescent="0.25">
      <c r="A24" s="39"/>
      <c r="B24" s="154">
        <v>-131.07146672485001</v>
      </c>
      <c r="C24" s="155">
        <v>0.15</v>
      </c>
      <c r="D24" s="156">
        <v>14</v>
      </c>
      <c r="E24" s="156" t="s">
        <v>323</v>
      </c>
      <c r="F24" s="39"/>
    </row>
    <row r="25" spans="1:6" x14ac:dyDescent="0.25">
      <c r="A25" s="39"/>
      <c r="B25" s="39"/>
      <c r="C25" s="39"/>
      <c r="D25" s="39"/>
      <c r="E25" s="39"/>
      <c r="F25" s="39"/>
    </row>
    <row r="26" spans="1:6" x14ac:dyDescent="0.25">
      <c r="A26" s="39"/>
      <c r="B26" s="39"/>
      <c r="C26" s="39"/>
      <c r="D26" s="39"/>
      <c r="E26" s="39"/>
      <c r="F26" s="39"/>
    </row>
    <row r="27" spans="1:6" x14ac:dyDescent="0.25">
      <c r="A27" s="39"/>
      <c r="B27" s="39"/>
      <c r="C27" s="39"/>
      <c r="D27" s="39"/>
      <c r="E27" s="39"/>
      <c r="F27" s="39"/>
    </row>
    <row r="28" spans="1:6" x14ac:dyDescent="0.25">
      <c r="A28" s="39"/>
      <c r="B28" s="39"/>
      <c r="C28" s="39"/>
      <c r="D28" s="39"/>
      <c r="E28" s="39"/>
      <c r="F28" s="39"/>
    </row>
    <row r="29" spans="1:6" x14ac:dyDescent="0.25">
      <c r="A29" s="39"/>
      <c r="B29" s="39"/>
      <c r="C29" s="39"/>
      <c r="D29" s="39"/>
      <c r="E29" s="39"/>
      <c r="F29" s="39"/>
    </row>
    <row r="30" spans="1:6" x14ac:dyDescent="0.25">
      <c r="A30" s="39"/>
      <c r="B30" s="39"/>
      <c r="C30" s="39"/>
      <c r="D30" s="39"/>
      <c r="E30" s="39"/>
      <c r="F30" s="39"/>
    </row>
    <row r="31" spans="1:6" x14ac:dyDescent="0.25">
      <c r="A31" s="39"/>
      <c r="B31" s="39"/>
      <c r="C31" s="39"/>
      <c r="D31" s="39"/>
      <c r="E31" s="39"/>
      <c r="F31" s="39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8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55" zoomScaleNormal="100" zoomScaleSheetLayoutView="55" workbookViewId="0">
      <selection activeCell="S33" sqref="S33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34" t="s">
        <v>58</v>
      </c>
    </row>
    <row r="2" spans="1:44" ht="18.75" x14ac:dyDescent="0.3">
      <c r="L2" s="35" t="s">
        <v>7</v>
      </c>
    </row>
    <row r="3" spans="1:44" ht="18.75" x14ac:dyDescent="0.3">
      <c r="L3" s="35" t="s">
        <v>57</v>
      </c>
    </row>
    <row r="4" spans="1:44" ht="18.75" x14ac:dyDescent="0.3">
      <c r="K4" s="35"/>
    </row>
    <row r="5" spans="1:44" x14ac:dyDescent="0.25">
      <c r="A5" s="224" t="str">
        <f>'1. паспорт местоположение'!$A$5</f>
        <v>Год раскрытия информации: 2019 год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</row>
    <row r="6" spans="1:44" ht="18.75" x14ac:dyDescent="0.3">
      <c r="K6" s="35"/>
    </row>
    <row r="7" spans="1:44" ht="18.75" x14ac:dyDescent="0.25">
      <c r="A7" s="228" t="s">
        <v>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44" ht="18.75" x14ac:dyDescent="0.25">
      <c r="A8" s="228"/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</row>
    <row r="9" spans="1:44" x14ac:dyDescent="0.25">
      <c r="A9" s="256" t="str">
        <f>'3.3 паспорт описание'!A9:C9</f>
        <v>АО "Чеченэнерго"</v>
      </c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6"/>
    </row>
    <row r="10" spans="1:44" x14ac:dyDescent="0.25">
      <c r="A10" s="230" t="s">
        <v>5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</row>
    <row r="11" spans="1:44" ht="18.75" x14ac:dyDescent="0.25">
      <c r="A11" s="228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</row>
    <row r="12" spans="1:44" x14ac:dyDescent="0.25">
      <c r="A12" s="256" t="str">
        <f>'3.3 паспорт описание'!A12:C12</f>
        <v>F_prj_109108_5385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</row>
    <row r="13" spans="1:44" x14ac:dyDescent="0.25">
      <c r="A13" s="230" t="s">
        <v>4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</row>
    <row r="14" spans="1:44" ht="18.75" x14ac:dyDescent="0.25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</row>
    <row r="15" spans="1:44" ht="30" customHeight="1" x14ac:dyDescent="0.25">
      <c r="A15" s="279" t="str">
        <f>'3.3 паспорт описание'!A15:C15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</row>
    <row r="16" spans="1:44" x14ac:dyDescent="0.25">
      <c r="A16" s="230" t="s">
        <v>3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</row>
    <row r="17" spans="1:12" ht="15.75" customHeight="1" x14ac:dyDescent="0.25">
      <c r="L17" s="83"/>
    </row>
    <row r="18" spans="1:12" x14ac:dyDescent="0.25">
      <c r="K18" s="6"/>
    </row>
    <row r="19" spans="1:12" ht="15.75" customHeight="1" x14ac:dyDescent="0.25">
      <c r="A19" s="285" t="s">
        <v>275</v>
      </c>
      <c r="B19" s="285"/>
      <c r="C19" s="285"/>
      <c r="D19" s="285"/>
      <c r="E19" s="285"/>
      <c r="F19" s="285"/>
      <c r="G19" s="285"/>
      <c r="H19" s="285"/>
      <c r="I19" s="285"/>
      <c r="J19" s="285"/>
      <c r="K19" s="285"/>
      <c r="L19" s="285"/>
    </row>
    <row r="20" spans="1:12" x14ac:dyDescent="0.25">
      <c r="A20" s="84"/>
      <c r="B20" s="84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76" t="s">
        <v>159</v>
      </c>
      <c r="B21" s="276" t="s">
        <v>158</v>
      </c>
      <c r="C21" s="280" t="s">
        <v>221</v>
      </c>
      <c r="D21" s="281"/>
      <c r="E21" s="281"/>
      <c r="F21" s="281"/>
      <c r="G21" s="281"/>
      <c r="H21" s="282"/>
      <c r="I21" s="273" t="s">
        <v>157</v>
      </c>
      <c r="J21" s="273" t="s">
        <v>223</v>
      </c>
      <c r="K21" s="276" t="s">
        <v>156</v>
      </c>
      <c r="L21" s="286" t="s">
        <v>222</v>
      </c>
    </row>
    <row r="22" spans="1:12" ht="58.5" customHeight="1" x14ac:dyDescent="0.25">
      <c r="A22" s="277"/>
      <c r="B22" s="277"/>
      <c r="C22" s="283" t="s">
        <v>1</v>
      </c>
      <c r="D22" s="284"/>
      <c r="E22" s="25"/>
      <c r="F22" s="26"/>
      <c r="G22" s="283" t="s">
        <v>0</v>
      </c>
      <c r="H22" s="284"/>
      <c r="I22" s="274"/>
      <c r="J22" s="274"/>
      <c r="K22" s="277"/>
      <c r="L22" s="287"/>
    </row>
    <row r="23" spans="1:12" ht="34.5" customHeight="1" x14ac:dyDescent="0.25">
      <c r="A23" s="278"/>
      <c r="B23" s="278"/>
      <c r="C23" s="21" t="s">
        <v>503</v>
      </c>
      <c r="D23" s="21" t="s">
        <v>154</v>
      </c>
      <c r="E23" s="21" t="s">
        <v>155</v>
      </c>
      <c r="F23" s="21" t="s">
        <v>154</v>
      </c>
      <c r="G23" s="21" t="s">
        <v>155</v>
      </c>
      <c r="H23" s="21" t="s">
        <v>154</v>
      </c>
      <c r="I23" s="275"/>
      <c r="J23" s="275"/>
      <c r="K23" s="278"/>
      <c r="L23" s="288"/>
    </row>
    <row r="24" spans="1:12" x14ac:dyDescent="0.25">
      <c r="A24" s="192">
        <v>1</v>
      </c>
      <c r="B24" s="192">
        <v>2</v>
      </c>
      <c r="C24" s="21">
        <v>3</v>
      </c>
      <c r="D24" s="21">
        <v>4</v>
      </c>
      <c r="E24" s="21">
        <v>5</v>
      </c>
      <c r="F24" s="21">
        <v>6</v>
      </c>
      <c r="G24" s="21">
        <v>7</v>
      </c>
      <c r="H24" s="21">
        <v>8</v>
      </c>
      <c r="I24" s="21">
        <v>9</v>
      </c>
      <c r="J24" s="21">
        <v>10</v>
      </c>
      <c r="K24" s="21">
        <v>11</v>
      </c>
      <c r="L24" s="21">
        <v>12</v>
      </c>
    </row>
    <row r="25" spans="1:12" s="44" customFormat="1" x14ac:dyDescent="0.25">
      <c r="A25" s="193">
        <v>1</v>
      </c>
      <c r="B25" s="149" t="s">
        <v>153</v>
      </c>
      <c r="C25" s="149"/>
      <c r="D25" s="42"/>
      <c r="E25" s="42"/>
      <c r="F25" s="42"/>
      <c r="G25" s="42"/>
      <c r="H25" s="42"/>
      <c r="I25" s="42"/>
      <c r="J25" s="42"/>
      <c r="K25" s="4"/>
      <c r="L25" s="43"/>
    </row>
    <row r="26" spans="1:12" s="44" customFormat="1" ht="21.75" customHeight="1" x14ac:dyDescent="0.25">
      <c r="A26" s="193" t="s">
        <v>152</v>
      </c>
      <c r="B26" s="4" t="s">
        <v>228</v>
      </c>
      <c r="C26" s="46" t="s">
        <v>290</v>
      </c>
      <c r="D26" s="46" t="s">
        <v>290</v>
      </c>
      <c r="E26" s="46" t="s">
        <v>290</v>
      </c>
      <c r="F26" s="46" t="s">
        <v>290</v>
      </c>
      <c r="G26" s="47" t="s">
        <v>326</v>
      </c>
      <c r="H26" s="47" t="s">
        <v>326</v>
      </c>
      <c r="I26" s="47" t="s">
        <v>326</v>
      </c>
      <c r="J26" s="47" t="s">
        <v>326</v>
      </c>
      <c r="K26" s="47" t="s">
        <v>326</v>
      </c>
      <c r="L26" s="47" t="s">
        <v>326</v>
      </c>
    </row>
    <row r="27" spans="1:12" s="45" customFormat="1" ht="39" customHeight="1" x14ac:dyDescent="0.25">
      <c r="A27" s="193" t="s">
        <v>151</v>
      </c>
      <c r="B27" s="4" t="s">
        <v>230</v>
      </c>
      <c r="C27" s="46" t="s">
        <v>290</v>
      </c>
      <c r="D27" s="46" t="s">
        <v>290</v>
      </c>
      <c r="E27" s="46" t="s">
        <v>290</v>
      </c>
      <c r="F27" s="46" t="s">
        <v>290</v>
      </c>
      <c r="G27" s="47" t="s">
        <v>326</v>
      </c>
      <c r="H27" s="47" t="s">
        <v>326</v>
      </c>
      <c r="I27" s="47" t="s">
        <v>326</v>
      </c>
      <c r="J27" s="47" t="s">
        <v>326</v>
      </c>
      <c r="K27" s="47" t="s">
        <v>326</v>
      </c>
      <c r="L27" s="47" t="s">
        <v>326</v>
      </c>
    </row>
    <row r="28" spans="1:12" s="45" customFormat="1" ht="70.5" customHeight="1" x14ac:dyDescent="0.25">
      <c r="A28" s="193" t="s">
        <v>229</v>
      </c>
      <c r="B28" s="4" t="s">
        <v>234</v>
      </c>
      <c r="C28" s="46">
        <v>38861</v>
      </c>
      <c r="D28" s="46">
        <v>38861</v>
      </c>
      <c r="E28" s="46" t="s">
        <v>290</v>
      </c>
      <c r="F28" s="46" t="s">
        <v>290</v>
      </c>
      <c r="G28" s="47" t="s">
        <v>326</v>
      </c>
      <c r="H28" s="47" t="s">
        <v>326</v>
      </c>
      <c r="I28" s="47" t="s">
        <v>326</v>
      </c>
      <c r="J28" s="47" t="s">
        <v>326</v>
      </c>
      <c r="K28" s="47" t="s">
        <v>326</v>
      </c>
      <c r="L28" s="47" t="s">
        <v>326</v>
      </c>
    </row>
    <row r="29" spans="1:12" s="45" customFormat="1" ht="54" customHeight="1" x14ac:dyDescent="0.25">
      <c r="A29" s="193" t="s">
        <v>150</v>
      </c>
      <c r="B29" s="4" t="s">
        <v>233</v>
      </c>
      <c r="C29" s="46">
        <v>38861</v>
      </c>
      <c r="D29" s="46">
        <v>38861</v>
      </c>
      <c r="E29" s="46" t="s">
        <v>290</v>
      </c>
      <c r="F29" s="46" t="s">
        <v>290</v>
      </c>
      <c r="G29" s="47" t="s">
        <v>326</v>
      </c>
      <c r="H29" s="47" t="s">
        <v>326</v>
      </c>
      <c r="I29" s="47" t="s">
        <v>326</v>
      </c>
      <c r="J29" s="47" t="s">
        <v>326</v>
      </c>
      <c r="K29" s="47" t="s">
        <v>326</v>
      </c>
      <c r="L29" s="47" t="s">
        <v>326</v>
      </c>
    </row>
    <row r="30" spans="1:12" s="45" customFormat="1" ht="42" customHeight="1" x14ac:dyDescent="0.25">
      <c r="A30" s="193" t="s">
        <v>149</v>
      </c>
      <c r="B30" s="4" t="s">
        <v>235</v>
      </c>
      <c r="C30" s="46">
        <v>41913</v>
      </c>
      <c r="D30" s="46">
        <v>41913</v>
      </c>
      <c r="E30" s="42"/>
      <c r="F30" s="42"/>
      <c r="G30" s="47" t="s">
        <v>326</v>
      </c>
      <c r="H30" s="47" t="s">
        <v>326</v>
      </c>
      <c r="I30" s="47" t="s">
        <v>326</v>
      </c>
      <c r="J30" s="47" t="s">
        <v>326</v>
      </c>
      <c r="K30" s="47" t="s">
        <v>326</v>
      </c>
      <c r="L30" s="47" t="s">
        <v>326</v>
      </c>
    </row>
    <row r="31" spans="1:12" s="45" customFormat="1" ht="37.5" customHeight="1" x14ac:dyDescent="0.25">
      <c r="A31" s="193" t="s">
        <v>148</v>
      </c>
      <c r="B31" s="150" t="s">
        <v>231</v>
      </c>
      <c r="C31" s="46">
        <v>41519</v>
      </c>
      <c r="D31" s="46">
        <v>41519</v>
      </c>
      <c r="E31" s="42"/>
      <c r="F31" s="42"/>
      <c r="G31" s="47" t="s">
        <v>326</v>
      </c>
      <c r="H31" s="47" t="s">
        <v>326</v>
      </c>
      <c r="I31" s="47" t="s">
        <v>326</v>
      </c>
      <c r="J31" s="47" t="s">
        <v>326</v>
      </c>
      <c r="K31" s="47" t="s">
        <v>326</v>
      </c>
      <c r="L31" s="47" t="s">
        <v>326</v>
      </c>
    </row>
    <row r="32" spans="1:12" s="45" customFormat="1" ht="31.5" x14ac:dyDescent="0.25">
      <c r="A32" s="193" t="s">
        <v>146</v>
      </c>
      <c r="B32" s="150" t="s">
        <v>236</v>
      </c>
      <c r="C32" s="46">
        <v>41598</v>
      </c>
      <c r="D32" s="46">
        <v>41598</v>
      </c>
      <c r="E32" s="42"/>
      <c r="F32" s="42"/>
      <c r="G32" s="47" t="s">
        <v>326</v>
      </c>
      <c r="H32" s="47" t="s">
        <v>326</v>
      </c>
      <c r="I32" s="47" t="s">
        <v>326</v>
      </c>
      <c r="J32" s="47" t="s">
        <v>326</v>
      </c>
      <c r="K32" s="47" t="s">
        <v>326</v>
      </c>
      <c r="L32" s="47" t="s">
        <v>326</v>
      </c>
    </row>
    <row r="33" spans="1:12" s="45" customFormat="1" ht="37.5" customHeight="1" x14ac:dyDescent="0.25">
      <c r="A33" s="193" t="s">
        <v>247</v>
      </c>
      <c r="B33" s="150" t="s">
        <v>173</v>
      </c>
      <c r="C33" s="46">
        <v>41614</v>
      </c>
      <c r="D33" s="46">
        <v>41614</v>
      </c>
      <c r="E33" s="42"/>
      <c r="F33" s="42"/>
      <c r="G33" s="47" t="s">
        <v>326</v>
      </c>
      <c r="H33" s="47" t="s">
        <v>326</v>
      </c>
      <c r="I33" s="47" t="s">
        <v>326</v>
      </c>
      <c r="J33" s="47" t="s">
        <v>326</v>
      </c>
      <c r="K33" s="47" t="s">
        <v>326</v>
      </c>
      <c r="L33" s="47" t="s">
        <v>326</v>
      </c>
    </row>
    <row r="34" spans="1:12" s="45" customFormat="1" ht="47.25" customHeight="1" x14ac:dyDescent="0.25">
      <c r="A34" s="193" t="s">
        <v>248</v>
      </c>
      <c r="B34" s="150" t="s">
        <v>240</v>
      </c>
      <c r="C34" s="46" t="s">
        <v>290</v>
      </c>
      <c r="D34" s="46" t="s">
        <v>290</v>
      </c>
      <c r="E34" s="46" t="s">
        <v>290</v>
      </c>
      <c r="F34" s="46" t="s">
        <v>290</v>
      </c>
      <c r="G34" s="47" t="s">
        <v>326</v>
      </c>
      <c r="H34" s="47" t="s">
        <v>326</v>
      </c>
      <c r="I34" s="47" t="s">
        <v>326</v>
      </c>
      <c r="J34" s="47" t="s">
        <v>326</v>
      </c>
      <c r="K34" s="47" t="s">
        <v>326</v>
      </c>
      <c r="L34" s="47" t="s">
        <v>326</v>
      </c>
    </row>
    <row r="35" spans="1:12" s="45" customFormat="1" ht="49.5" customHeight="1" x14ac:dyDescent="0.25">
      <c r="A35" s="193" t="s">
        <v>249</v>
      </c>
      <c r="B35" s="150" t="s">
        <v>147</v>
      </c>
      <c r="C35" s="46">
        <v>41639</v>
      </c>
      <c r="D35" s="46">
        <v>41639</v>
      </c>
      <c r="E35" s="48"/>
      <c r="F35" s="48"/>
      <c r="G35" s="47" t="s">
        <v>326</v>
      </c>
      <c r="H35" s="47" t="s">
        <v>326</v>
      </c>
      <c r="I35" s="47" t="s">
        <v>326</v>
      </c>
      <c r="J35" s="47" t="s">
        <v>326</v>
      </c>
      <c r="K35" s="47" t="s">
        <v>326</v>
      </c>
      <c r="L35" s="47" t="s">
        <v>326</v>
      </c>
    </row>
    <row r="36" spans="1:12" s="44" customFormat="1" ht="37.5" customHeight="1" x14ac:dyDescent="0.25">
      <c r="A36" s="193" t="s">
        <v>250</v>
      </c>
      <c r="B36" s="150" t="s">
        <v>232</v>
      </c>
      <c r="C36" s="46">
        <v>42884</v>
      </c>
      <c r="D36" s="46">
        <v>42884</v>
      </c>
      <c r="E36" s="46">
        <v>42884</v>
      </c>
      <c r="F36" s="46">
        <v>42884</v>
      </c>
      <c r="G36" s="47" t="s">
        <v>326</v>
      </c>
      <c r="H36" s="47" t="s">
        <v>326</v>
      </c>
      <c r="I36" s="47" t="s">
        <v>326</v>
      </c>
      <c r="J36" s="47" t="s">
        <v>326</v>
      </c>
      <c r="K36" s="47" t="s">
        <v>326</v>
      </c>
      <c r="L36" s="47" t="s">
        <v>326</v>
      </c>
    </row>
    <row r="37" spans="1:12" s="44" customFormat="1" ht="27" customHeight="1" x14ac:dyDescent="0.25">
      <c r="A37" s="193" t="s">
        <v>251</v>
      </c>
      <c r="B37" s="150" t="s">
        <v>145</v>
      </c>
      <c r="C37" s="46">
        <v>41519</v>
      </c>
      <c r="D37" s="46">
        <v>41519</v>
      </c>
      <c r="E37" s="49"/>
      <c r="F37" s="48"/>
      <c r="G37" s="47" t="s">
        <v>326</v>
      </c>
      <c r="H37" s="47" t="s">
        <v>326</v>
      </c>
      <c r="I37" s="47" t="s">
        <v>326</v>
      </c>
      <c r="J37" s="47" t="s">
        <v>326</v>
      </c>
      <c r="K37" s="47" t="s">
        <v>326</v>
      </c>
      <c r="L37" s="47" t="s">
        <v>326</v>
      </c>
    </row>
    <row r="38" spans="1:12" s="44" customFormat="1" ht="30.75" customHeight="1" x14ac:dyDescent="0.25">
      <c r="A38" s="193" t="s">
        <v>252</v>
      </c>
      <c r="B38" s="149" t="s">
        <v>144</v>
      </c>
      <c r="C38" s="46"/>
      <c r="D38" s="46"/>
      <c r="E38" s="4"/>
      <c r="F38" s="4"/>
      <c r="G38" s="47" t="s">
        <v>326</v>
      </c>
      <c r="H38" s="47" t="s">
        <v>326</v>
      </c>
      <c r="I38" s="47" t="s">
        <v>326</v>
      </c>
      <c r="J38" s="47" t="s">
        <v>326</v>
      </c>
      <c r="K38" s="4"/>
      <c r="L38" s="4"/>
    </row>
    <row r="39" spans="1:12" s="44" customFormat="1" ht="63" x14ac:dyDescent="0.25">
      <c r="A39" s="193">
        <v>2</v>
      </c>
      <c r="B39" s="150" t="s">
        <v>237</v>
      </c>
      <c r="C39" s="46">
        <v>42941</v>
      </c>
      <c r="D39" s="46">
        <v>42941</v>
      </c>
      <c r="E39" s="4"/>
      <c r="F39" s="4"/>
      <c r="G39" s="47" t="s">
        <v>326</v>
      </c>
      <c r="H39" s="47" t="s">
        <v>326</v>
      </c>
      <c r="I39" s="47" t="s">
        <v>326</v>
      </c>
      <c r="J39" s="47" t="s">
        <v>326</v>
      </c>
      <c r="K39" s="47" t="s">
        <v>326</v>
      </c>
      <c r="L39" s="47" t="s">
        <v>326</v>
      </c>
    </row>
    <row r="40" spans="1:12" s="44" customFormat="1" ht="33.75" customHeight="1" x14ac:dyDescent="0.25">
      <c r="A40" s="193" t="s">
        <v>143</v>
      </c>
      <c r="B40" s="150" t="s">
        <v>239</v>
      </c>
      <c r="C40" s="46">
        <v>42955</v>
      </c>
      <c r="D40" s="46">
        <v>42955</v>
      </c>
      <c r="E40" s="4"/>
      <c r="F40" s="4"/>
      <c r="G40" s="47" t="s">
        <v>326</v>
      </c>
      <c r="H40" s="47" t="s">
        <v>326</v>
      </c>
      <c r="I40" s="47" t="s">
        <v>326</v>
      </c>
      <c r="J40" s="47" t="s">
        <v>326</v>
      </c>
      <c r="K40" s="47" t="s">
        <v>326</v>
      </c>
      <c r="L40" s="47" t="s">
        <v>326</v>
      </c>
    </row>
    <row r="41" spans="1:12" s="44" customFormat="1" ht="63" customHeight="1" x14ac:dyDescent="0.25">
      <c r="A41" s="193" t="s">
        <v>142</v>
      </c>
      <c r="B41" s="149" t="s">
        <v>288</v>
      </c>
      <c r="C41" s="46"/>
      <c r="D41" s="46"/>
      <c r="E41" s="4"/>
      <c r="F41" s="4"/>
      <c r="G41" s="47" t="s">
        <v>326</v>
      </c>
      <c r="H41" s="47" t="s">
        <v>326</v>
      </c>
      <c r="I41" s="47" t="s">
        <v>326</v>
      </c>
      <c r="J41" s="47" t="s">
        <v>326</v>
      </c>
      <c r="K41" s="4"/>
      <c r="L41" s="4"/>
    </row>
    <row r="42" spans="1:12" s="44" customFormat="1" ht="58.5" customHeight="1" x14ac:dyDescent="0.25">
      <c r="A42" s="193">
        <v>3</v>
      </c>
      <c r="B42" s="150" t="s">
        <v>238</v>
      </c>
      <c r="C42" s="46">
        <v>42941</v>
      </c>
      <c r="D42" s="46">
        <v>42941</v>
      </c>
      <c r="E42" s="4"/>
      <c r="F42" s="4"/>
      <c r="G42" s="47" t="s">
        <v>326</v>
      </c>
      <c r="H42" s="47" t="s">
        <v>326</v>
      </c>
      <c r="I42" s="47" t="s">
        <v>326</v>
      </c>
      <c r="J42" s="47" t="s">
        <v>326</v>
      </c>
      <c r="K42" s="47" t="s">
        <v>326</v>
      </c>
      <c r="L42" s="47" t="s">
        <v>326</v>
      </c>
    </row>
    <row r="43" spans="1:12" s="44" customFormat="1" ht="34.5" customHeight="1" x14ac:dyDescent="0.25">
      <c r="A43" s="193" t="s">
        <v>141</v>
      </c>
      <c r="B43" s="150" t="s">
        <v>139</v>
      </c>
      <c r="C43" s="46">
        <v>42970</v>
      </c>
      <c r="D43" s="46">
        <v>42970</v>
      </c>
      <c r="E43" s="4"/>
      <c r="F43" s="4"/>
      <c r="G43" s="47" t="s">
        <v>326</v>
      </c>
      <c r="H43" s="47" t="s">
        <v>326</v>
      </c>
      <c r="I43" s="47" t="s">
        <v>326</v>
      </c>
      <c r="J43" s="47" t="s">
        <v>326</v>
      </c>
      <c r="K43" s="47" t="s">
        <v>326</v>
      </c>
      <c r="L43" s="47" t="s">
        <v>326</v>
      </c>
    </row>
    <row r="44" spans="1:12" s="44" customFormat="1" ht="24.75" customHeight="1" x14ac:dyDescent="0.25">
      <c r="A44" s="193" t="s">
        <v>140</v>
      </c>
      <c r="B44" s="150" t="s">
        <v>137</v>
      </c>
      <c r="C44" s="46">
        <v>42970</v>
      </c>
      <c r="D44" s="46">
        <v>42970</v>
      </c>
      <c r="E44" s="4"/>
      <c r="F44" s="4"/>
      <c r="G44" s="47" t="s">
        <v>326</v>
      </c>
      <c r="H44" s="47" t="s">
        <v>326</v>
      </c>
      <c r="I44" s="47" t="s">
        <v>326</v>
      </c>
      <c r="J44" s="47" t="s">
        <v>326</v>
      </c>
      <c r="K44" s="47" t="s">
        <v>326</v>
      </c>
      <c r="L44" s="47" t="s">
        <v>326</v>
      </c>
    </row>
    <row r="45" spans="1:12" s="44" customFormat="1" ht="90.75" customHeight="1" x14ac:dyDescent="0.25">
      <c r="A45" s="193" t="s">
        <v>138</v>
      </c>
      <c r="B45" s="150" t="s">
        <v>243</v>
      </c>
      <c r="C45" s="46" t="s">
        <v>290</v>
      </c>
      <c r="D45" s="46" t="s">
        <v>290</v>
      </c>
      <c r="E45" s="46" t="s">
        <v>290</v>
      </c>
      <c r="F45" s="46" t="s">
        <v>290</v>
      </c>
      <c r="G45" s="47" t="s">
        <v>326</v>
      </c>
      <c r="H45" s="47" t="s">
        <v>326</v>
      </c>
      <c r="I45" s="47" t="s">
        <v>326</v>
      </c>
      <c r="J45" s="47" t="s">
        <v>326</v>
      </c>
      <c r="K45" s="47" t="s">
        <v>326</v>
      </c>
      <c r="L45" s="47" t="s">
        <v>326</v>
      </c>
    </row>
    <row r="46" spans="1:12" s="44" customFormat="1" ht="167.25" customHeight="1" x14ac:dyDescent="0.25">
      <c r="A46" s="193" t="s">
        <v>136</v>
      </c>
      <c r="B46" s="150" t="s">
        <v>241</v>
      </c>
      <c r="C46" s="46" t="s">
        <v>290</v>
      </c>
      <c r="D46" s="46" t="s">
        <v>290</v>
      </c>
      <c r="E46" s="46" t="s">
        <v>290</v>
      </c>
      <c r="F46" s="46" t="s">
        <v>290</v>
      </c>
      <c r="G46" s="47" t="s">
        <v>326</v>
      </c>
      <c r="H46" s="47" t="s">
        <v>326</v>
      </c>
      <c r="I46" s="47" t="s">
        <v>326</v>
      </c>
      <c r="J46" s="47" t="s">
        <v>326</v>
      </c>
      <c r="K46" s="47" t="s">
        <v>326</v>
      </c>
      <c r="L46" s="47" t="s">
        <v>326</v>
      </c>
    </row>
    <row r="47" spans="1:12" s="44" customFormat="1" ht="30.75" customHeight="1" x14ac:dyDescent="0.25">
      <c r="A47" s="193" t="s">
        <v>134</v>
      </c>
      <c r="B47" s="150" t="s">
        <v>135</v>
      </c>
      <c r="C47" s="46" t="s">
        <v>290</v>
      </c>
      <c r="D47" s="46" t="s">
        <v>290</v>
      </c>
      <c r="E47" s="4"/>
      <c r="F47" s="4"/>
      <c r="G47" s="47" t="s">
        <v>326</v>
      </c>
      <c r="H47" s="47" t="s">
        <v>326</v>
      </c>
      <c r="I47" s="47" t="s">
        <v>326</v>
      </c>
      <c r="J47" s="47" t="s">
        <v>326</v>
      </c>
      <c r="K47" s="47" t="s">
        <v>326</v>
      </c>
      <c r="L47" s="47" t="s">
        <v>326</v>
      </c>
    </row>
    <row r="48" spans="1:12" s="44" customFormat="1" ht="37.5" customHeight="1" x14ac:dyDescent="0.25">
      <c r="A48" s="193" t="s">
        <v>253</v>
      </c>
      <c r="B48" s="149" t="s">
        <v>133</v>
      </c>
      <c r="C48" s="46"/>
      <c r="D48" s="46"/>
      <c r="E48" s="4"/>
      <c r="F48" s="4"/>
      <c r="G48" s="47" t="s">
        <v>326</v>
      </c>
      <c r="H48" s="47" t="s">
        <v>326</v>
      </c>
      <c r="I48" s="47" t="s">
        <v>326</v>
      </c>
      <c r="J48" s="47" t="s">
        <v>326</v>
      </c>
      <c r="K48" s="4"/>
      <c r="L48" s="4"/>
    </row>
    <row r="49" spans="1:12" s="44" customFormat="1" ht="35.25" customHeight="1" x14ac:dyDescent="0.25">
      <c r="A49" s="193">
        <v>4</v>
      </c>
      <c r="B49" s="150" t="s">
        <v>131</v>
      </c>
      <c r="C49" s="46" t="s">
        <v>290</v>
      </c>
      <c r="D49" s="46" t="s">
        <v>290</v>
      </c>
      <c r="E49" s="4"/>
      <c r="F49" s="4"/>
      <c r="G49" s="47" t="s">
        <v>326</v>
      </c>
      <c r="H49" s="47" t="s">
        <v>326</v>
      </c>
      <c r="I49" s="47" t="s">
        <v>326</v>
      </c>
      <c r="J49" s="47" t="s">
        <v>326</v>
      </c>
      <c r="K49" s="47" t="s">
        <v>326</v>
      </c>
      <c r="L49" s="47" t="s">
        <v>326</v>
      </c>
    </row>
    <row r="50" spans="1:12" s="44" customFormat="1" ht="86.25" customHeight="1" x14ac:dyDescent="0.25">
      <c r="A50" s="193" t="s">
        <v>132</v>
      </c>
      <c r="B50" s="150" t="s">
        <v>242</v>
      </c>
      <c r="C50" s="46">
        <v>43444</v>
      </c>
      <c r="D50" s="46">
        <v>43444</v>
      </c>
      <c r="E50" s="4"/>
      <c r="F50" s="4"/>
      <c r="G50" s="47" t="s">
        <v>326</v>
      </c>
      <c r="H50" s="47" t="s">
        <v>326</v>
      </c>
      <c r="I50" s="47" t="s">
        <v>326</v>
      </c>
      <c r="J50" s="47" t="s">
        <v>326</v>
      </c>
      <c r="K50" s="47" t="s">
        <v>326</v>
      </c>
      <c r="L50" s="47" t="s">
        <v>326</v>
      </c>
    </row>
    <row r="51" spans="1:12" s="44" customFormat="1" ht="77.25" customHeight="1" x14ac:dyDescent="0.25">
      <c r="A51" s="193" t="s">
        <v>130</v>
      </c>
      <c r="B51" s="150" t="s">
        <v>244</v>
      </c>
      <c r="C51" s="46" t="s">
        <v>290</v>
      </c>
      <c r="D51" s="46" t="s">
        <v>290</v>
      </c>
      <c r="E51" s="46" t="s">
        <v>290</v>
      </c>
      <c r="F51" s="46" t="s">
        <v>290</v>
      </c>
      <c r="G51" s="47" t="s">
        <v>326</v>
      </c>
      <c r="H51" s="47" t="s">
        <v>326</v>
      </c>
      <c r="I51" s="47" t="s">
        <v>326</v>
      </c>
      <c r="J51" s="47" t="s">
        <v>326</v>
      </c>
      <c r="K51" s="47" t="s">
        <v>326</v>
      </c>
      <c r="L51" s="47" t="s">
        <v>326</v>
      </c>
    </row>
    <row r="52" spans="1:12" s="44" customFormat="1" ht="71.25" customHeight="1" x14ac:dyDescent="0.25">
      <c r="A52" s="193" t="s">
        <v>128</v>
      </c>
      <c r="B52" s="150" t="s">
        <v>129</v>
      </c>
      <c r="C52" s="46" t="s">
        <v>290</v>
      </c>
      <c r="D52" s="46" t="s">
        <v>290</v>
      </c>
      <c r="E52" s="46" t="s">
        <v>290</v>
      </c>
      <c r="F52" s="46" t="s">
        <v>290</v>
      </c>
      <c r="G52" s="47" t="s">
        <v>326</v>
      </c>
      <c r="H52" s="47" t="s">
        <v>326</v>
      </c>
      <c r="I52" s="47" t="s">
        <v>326</v>
      </c>
      <c r="J52" s="47" t="s">
        <v>326</v>
      </c>
      <c r="K52" s="47" t="s">
        <v>326</v>
      </c>
      <c r="L52" s="47" t="s">
        <v>326</v>
      </c>
    </row>
    <row r="53" spans="1:12" s="44" customFormat="1" ht="48" customHeight="1" x14ac:dyDescent="0.25">
      <c r="A53" s="193" t="s">
        <v>126</v>
      </c>
      <c r="B53" s="44" t="s">
        <v>245</v>
      </c>
      <c r="C53" s="46">
        <v>43462</v>
      </c>
      <c r="D53" s="46">
        <v>43462</v>
      </c>
      <c r="E53" s="4"/>
      <c r="F53" s="4"/>
      <c r="G53" s="47" t="s">
        <v>326</v>
      </c>
      <c r="H53" s="47" t="s">
        <v>326</v>
      </c>
      <c r="I53" s="47" t="s">
        <v>326</v>
      </c>
      <c r="J53" s="47" t="s">
        <v>326</v>
      </c>
      <c r="K53" s="47" t="s">
        <v>326</v>
      </c>
      <c r="L53" s="47" t="s">
        <v>326</v>
      </c>
    </row>
    <row r="54" spans="1:12" s="44" customFormat="1" ht="46.5" customHeight="1" x14ac:dyDescent="0.25">
      <c r="A54" s="193" t="s">
        <v>246</v>
      </c>
      <c r="B54" s="150" t="s">
        <v>127</v>
      </c>
      <c r="C54" s="46">
        <v>43458</v>
      </c>
      <c r="D54" s="46">
        <v>43458</v>
      </c>
      <c r="E54" s="4">
        <v>43458</v>
      </c>
      <c r="F54" s="4">
        <v>43458</v>
      </c>
      <c r="G54" s="47" t="s">
        <v>326</v>
      </c>
      <c r="H54" s="47" t="s">
        <v>326</v>
      </c>
      <c r="I54" s="47" t="s">
        <v>326</v>
      </c>
      <c r="J54" s="47" t="s">
        <v>326</v>
      </c>
      <c r="K54" s="47" t="s">
        <v>326</v>
      </c>
      <c r="L54" s="47" t="s">
        <v>326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8" type="noConversion"/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2016-01-18T07:54:38Z</cp:lastPrinted>
  <dcterms:created xsi:type="dcterms:W3CDTF">2015-08-16T15:31:05Z</dcterms:created>
  <dcterms:modified xsi:type="dcterms:W3CDTF">2019-11-10T09:14:17Z</dcterms:modified>
</cp:coreProperties>
</file>