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10" yWindow="120" windowWidth="12465" windowHeight="11745" tabRatio="903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14" r:id="rId4"/>
    <sheet name="3.3 паспорт описание" sheetId="6" r:id="rId5"/>
    <sheet name="3.4. Паспорт надежность" sheetId="25" r:id="rId6"/>
    <sheet name="4.паспорт бюджет" sheetId="26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27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местоположение'!$A$1:$C$54</definedName>
    <definedName name="_xlnm.Print_Area" localSheetId="1">'2. паспорт  ТП'!$A$1:$S$22</definedName>
    <definedName name="_xlnm.Print_Area" localSheetId="2">'3.1. паспорт Техсостояние ПС'!$A$2:$T$49</definedName>
    <definedName name="_xlnm.Print_Area" localSheetId="3">'3.2 паспорт Техсостояние ЛЭП'!$A$1:$AA$26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ввод'!$A$1:$K$64</definedName>
    <definedName name="_xlnm.Print_Area" localSheetId="10">'7. Паспорт отчет о закупке'!$A$1:$AV$31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F31" i="15" l="1"/>
  <c r="F32" i="15"/>
  <c r="F33" i="15"/>
  <c r="F59" i="15" l="1"/>
  <c r="F58" i="15"/>
  <c r="F51" i="15"/>
  <c r="F43" i="15"/>
  <c r="F34" i="15"/>
  <c r="B59" i="22"/>
  <c r="C29" i="15"/>
  <c r="C25" i="15"/>
  <c r="B57" i="22"/>
  <c r="B56" i="22" l="1"/>
  <c r="F26" i="15"/>
  <c r="F25" i="15"/>
  <c r="C26" i="15"/>
  <c r="C28" i="15"/>
  <c r="B26" i="22"/>
  <c r="F27" i="15" l="1"/>
  <c r="C27" i="15"/>
  <c r="B47" i="22"/>
  <c r="B30" i="22"/>
  <c r="B29" i="22"/>
  <c r="A16" i="13"/>
  <c r="A15" i="22"/>
  <c r="A12" i="22"/>
  <c r="A11" i="15"/>
  <c r="A12" i="16"/>
  <c r="A12" i="23"/>
  <c r="A12" i="6"/>
  <c r="E12" i="14"/>
  <c r="A13" i="13"/>
  <c r="A14" i="15"/>
  <c r="A15" i="16"/>
  <c r="A15" i="23"/>
  <c r="A15" i="6"/>
  <c r="E15" i="14"/>
  <c r="A14" i="24"/>
  <c r="A5" i="22"/>
  <c r="A4" i="15"/>
  <c r="A5" i="27"/>
  <c r="A5" i="16"/>
  <c r="A5" i="23"/>
  <c r="A6" i="26"/>
  <c r="A4" i="25"/>
  <c r="A5" i="6"/>
  <c r="A5" i="14"/>
  <c r="A6" i="13"/>
  <c r="A4" i="24"/>
  <c r="A11" i="24"/>
  <c r="A15" i="27"/>
  <c r="A12" i="27"/>
  <c r="F25" i="27"/>
  <c r="G25" i="27" s="1"/>
  <c r="H25" i="27" s="1"/>
  <c r="I25" i="27" s="1"/>
  <c r="J25" i="27" s="1"/>
  <c r="K25" i="27" s="1"/>
  <c r="L25" i="27" s="1"/>
  <c r="M25" i="27" s="1"/>
  <c r="N25" i="27" s="1"/>
  <c r="O25" i="27" s="1"/>
  <c r="P25" i="27" s="1"/>
  <c r="Q25" i="27" s="1"/>
  <c r="R25" i="27" s="1"/>
  <c r="S25" i="27" s="1"/>
  <c r="T25" i="27" s="1"/>
  <c r="U25" i="27" s="1"/>
  <c r="V25" i="27" s="1"/>
  <c r="W25" i="27" s="1"/>
  <c r="X25" i="27" s="1"/>
  <c r="Y25" i="27" s="1"/>
  <c r="Z25" i="27" s="1"/>
  <c r="AA25" i="27" s="1"/>
  <c r="AB25" i="27" s="1"/>
  <c r="AC25" i="27" s="1"/>
  <c r="AD25" i="27" s="1"/>
  <c r="AE25" i="27" s="1"/>
  <c r="AF25" i="27" s="1"/>
  <c r="AG25" i="27" s="1"/>
  <c r="AH25" i="27" s="1"/>
  <c r="AI25" i="27" s="1"/>
  <c r="AJ25" i="27" s="1"/>
  <c r="AK25" i="27" s="1"/>
  <c r="AL25" i="27" s="1"/>
  <c r="AM25" i="27" s="1"/>
  <c r="AN25" i="27" s="1"/>
  <c r="AO25" i="27" s="1"/>
  <c r="A16" i="26"/>
  <c r="A13" i="26"/>
  <c r="A14" i="25"/>
  <c r="A11" i="25"/>
  <c r="C48" i="7" l="1"/>
  <c r="C47" i="7"/>
  <c r="D31" i="15" l="1"/>
  <c r="D33" i="15"/>
  <c r="D32" i="15"/>
  <c r="B58" i="22"/>
  <c r="E52" i="15" l="1"/>
  <c r="D27" i="15"/>
  <c r="E27" i="15"/>
  <c r="D28" i="15"/>
  <c r="E28" i="15"/>
  <c r="D34" i="15"/>
  <c r="E26" i="15"/>
  <c r="D26" i="15"/>
  <c r="E39" i="15"/>
  <c r="D29" i="15"/>
  <c r="E29" i="15"/>
  <c r="D25" i="15"/>
  <c r="E25" i="15"/>
  <c r="F57" i="15"/>
  <c r="F50" i="15"/>
  <c r="F42" i="15"/>
  <c r="F49" i="15"/>
  <c r="F41" i="15"/>
  <c r="E41" i="15" s="1"/>
  <c r="F37" i="15"/>
  <c r="E37" i="15" s="1"/>
  <c r="F45" i="15"/>
  <c r="F54" i="15"/>
  <c r="E54" i="15" s="1"/>
  <c r="F55" i="15"/>
  <c r="E55" i="15" s="1"/>
  <c r="F38" i="15"/>
  <c r="E38" i="15" s="1"/>
  <c r="F46" i="15"/>
  <c r="F48" i="15"/>
  <c r="E48" i="15" s="1"/>
  <c r="F40" i="15"/>
  <c r="E40" i="15" s="1"/>
  <c r="F53" i="15"/>
  <c r="E53" i="15" s="1"/>
  <c r="F36" i="15"/>
  <c r="F44" i="15"/>
  <c r="E56" i="15"/>
  <c r="E47" i="15"/>
  <c r="E49" i="15" l="1"/>
  <c r="E44" i="15"/>
  <c r="E46" i="15"/>
  <c r="E45" i="15"/>
  <c r="E36" i="15"/>
  <c r="E57" i="15"/>
  <c r="E50" i="15"/>
  <c r="E42" i="15"/>
  <c r="F62" i="15" l="1"/>
  <c r="E62" i="15" s="1"/>
  <c r="F60" i="15"/>
  <c r="E60" i="15" s="1"/>
  <c r="F63" i="15"/>
  <c r="E63" i="15" s="1"/>
  <c r="F61" i="15"/>
  <c r="E61" i="15" s="1"/>
  <c r="F64" i="15" l="1"/>
  <c r="E64" i="15" s="1"/>
</calcChain>
</file>

<file path=xl/sharedStrings.xml><?xml version="1.0" encoding="utf-8"?>
<sst xmlns="http://schemas.openxmlformats.org/spreadsheetml/2006/main" count="1104" uniqueCount="521">
  <si>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</si>
  <si>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</si>
  <si>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</si>
  <si>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</si>
  <si>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</si>
  <si>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</si>
  <si>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</si>
  <si>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</si>
  <si>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</si>
  <si>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</si>
  <si>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</si>
  <si>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</si>
  <si>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</si>
  <si>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</si>
  <si>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</si>
  <si>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</si>
  <si>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</si>
  <si>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</si>
  <si>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</si>
  <si>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</si>
  <si>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</si>
  <si>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</si>
  <si>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</si>
  <si>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</si>
  <si>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</si>
  <si>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</si>
  <si>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</si>
  <si>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</si>
  <si>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</si>
  <si>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</si>
  <si>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</si>
  <si>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</si>
  <si>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</si>
  <si>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</si>
  <si>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</si>
  <si>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</si>
  <si>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</si>
  <si>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</si>
  <si>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</si>
  <si>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</si>
  <si>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</si>
  <si>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</si>
  <si>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</si>
  <si>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</si>
  <si>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</si>
  <si>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</si>
  <si>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</si>
  <si>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</si>
  <si>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</si>
  <si>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</si>
  <si>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</si>
  <si>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</si>
  <si>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</si>
  <si>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</si>
  <si>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</si>
  <si>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</si>
  <si>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</si>
  <si>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</si>
  <si>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</si>
  <si>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</si>
  <si>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</si>
  <si>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</si>
  <si>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</si>
  <si>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</si>
  <si>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</si>
  <si>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</si>
  <si>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</si>
  <si>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</si>
  <si>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</si>
  <si>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</si>
  <si>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</si>
  <si>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</si>
  <si>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</si>
  <si>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</si>
  <si>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</si>
  <si>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</si>
  <si>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</si>
  <si>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</si>
  <si>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</si>
  <si>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</si>
  <si>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</si>
  <si>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</si>
  <si>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</si>
  <si>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</si>
  <si>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</si>
  <si>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</si>
  <si>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</si>
  <si>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</si>
  <si>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</si>
  <si>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</si>
  <si>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</si>
  <si>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</si>
  <si>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</si>
  <si>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</si>
  <si>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</si>
  <si>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</si>
  <si>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</si>
  <si>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</si>
  <si>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</si>
  <si>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</si>
  <si>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</si>
  <si>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</si>
  <si>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</si>
  <si>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</si>
  <si>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</si>
  <si>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</si>
  <si>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</si>
  <si>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</si>
  <si>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</si>
  <si>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</si>
  <si>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</si>
  <si>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</si>
  <si>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</si>
  <si>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</si>
  <si>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</si>
  <si>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</si>
  <si>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</si>
  <si>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</si>
  <si>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</si>
  <si>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</si>
  <si>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</si>
  <si>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</si>
  <si>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</si>
  <si>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</si>
  <si>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</si>
  <si>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</si>
  <si>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</si>
  <si>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</si>
  <si>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</si>
  <si>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</si>
  <si>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</si>
  <si>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</si>
  <si>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</si>
  <si>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</si>
  <si>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</si>
  <si>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</si>
  <si>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</si>
  <si>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</si>
  <si>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</si>
  <si>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</si>
  <si>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</si>
  <si>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</si>
  <si>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</si>
  <si>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</si>
  <si>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</si>
  <si>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</si>
  <si>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</si>
  <si>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</si>
  <si>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</si>
  <si>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</si>
  <si>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</si>
  <si>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</si>
  <si>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</si>
  <si>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</si>
  <si>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</si>
  <si>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</si>
  <si>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</si>
  <si>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</si>
  <si>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</si>
  <si>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</si>
  <si>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</si>
  <si>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</si>
  <si>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</si>
  <si>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</si>
  <si>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</si>
  <si>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</si>
  <si>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</si>
  <si>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</si>
  <si>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</si>
  <si>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</si>
  <si>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</si>
  <si>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</si>
  <si>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</si>
  <si>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</si>
  <si>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</si>
  <si>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</si>
  <si>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</si>
  <si>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</si>
  <si>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</si>
  <si>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</si>
  <si>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</si>
  <si>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</si>
  <si>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</si>
  <si>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</si>
  <si>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</si>
  <si>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</si>
  <si>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</si>
  <si>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</si>
  <si>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</si>
  <si>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</si>
  <si>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</si>
  <si>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</si>
  <si>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</si>
  <si>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</si>
  <si>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</si>
  <si>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</si>
  <si>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</si>
  <si>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</si>
  <si>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</si>
  <si>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</si>
  <si>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</si>
  <si>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</si>
  <si>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</si>
  <si>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</si>
  <si>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</si>
  <si>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</si>
  <si>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</si>
  <si>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</si>
  <si>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</si>
  <si>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</si>
  <si>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</si>
  <si>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</si>
  <si>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</si>
  <si>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</si>
  <si>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</si>
  <si>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</si>
  <si>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</si>
  <si>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</si>
  <si>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</si>
  <si>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</si>
  <si>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</si>
  <si>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</si>
  <si>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</si>
  <si>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</si>
  <si>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</si>
  <si>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</si>
  <si>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</si>
  <si>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</si>
  <si>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</si>
  <si>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</si>
  <si>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</si>
  <si>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</si>
  <si>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</si>
  <si>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</si>
  <si>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</si>
  <si>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</si>
  <si>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</si>
  <si>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</si>
  <si>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</si>
  <si>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</si>
  <si>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</si>
  <si>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</si>
  <si>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</si>
  <si>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</si>
  <si>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</si>
  <si>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</si>
  <si>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</si>
  <si>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</si>
  <si>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</si>
  <si>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</si>
  <si>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</si>
  <si>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</si>
  <si>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</si>
  <si>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</si>
  <si>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</si>
  <si>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</si>
  <si>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</si>
  <si>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</si>
  <si>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</si>
  <si>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</si>
  <si>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</si>
  <si>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</si>
  <si>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</si>
  <si>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</si>
  <si>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</si>
  <si>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</si>
  <si>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</si>
  <si>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</si>
  <si>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</si>
  <si>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</si>
  <si>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</si>
  <si>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</si>
  <si>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</si>
  <si>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</si>
  <si>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</si>
  <si>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</si>
  <si>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</si>
  <si>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</si>
  <si>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Чеченская Республика</t>
  </si>
  <si>
    <t>не требуется</t>
  </si>
  <si>
    <t>ВЛ</t>
  </si>
  <si>
    <t>Год 2017</t>
  </si>
  <si>
    <t>ПАО "МРСК Северного Кавказа"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</si>
  <si>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</si>
  <si>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</si>
  <si>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</si>
  <si>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</si>
  <si>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</si>
  <si>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</si>
  <si>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</si>
  <si>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</si>
  <si>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Год 2016</t>
  </si>
  <si>
    <t>ПБ-110-8; У-110-2(3)</t>
  </si>
  <si>
    <t xml:space="preserve">Цели </t>
  </si>
  <si>
    <t>АО "Чеченэнерго"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</si>
  <si>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</si>
  <si>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</si>
  <si>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</si>
  <si>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</si>
  <si>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</si>
  <si>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</si>
  <si>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нд</t>
  </si>
  <si>
    <t>23</t>
  </si>
  <si>
    <t>24</t>
  </si>
  <si>
    <t>25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</si>
  <si>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</si>
  <si>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</si>
  <si>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</si>
  <si>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</si>
  <si>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</si>
  <si>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</si>
  <si>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</si>
  <si>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</si>
  <si>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</si>
  <si>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</si>
  <si>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</si>
  <si>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</si>
  <si>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</si>
  <si>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</si>
  <si>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</si>
  <si>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</si>
  <si>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</si>
  <si>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</si>
  <si>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</si>
  <si>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</si>
  <si>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</si>
  <si>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</si>
  <si>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</si>
  <si>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</si>
  <si>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</si>
  <si>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</si>
  <si>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</si>
  <si>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</si>
  <si>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</si>
  <si>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t>Nt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</si>
  <si>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</si>
  <si>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</si>
  <si>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</si>
  <si>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</si>
  <si>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</si>
  <si>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</si>
  <si>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</si>
  <si>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</si>
  <si>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</si>
  <si>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</si>
  <si>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</si>
  <si>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</si>
  <si>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</si>
  <si>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</si>
  <si>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</si>
  <si>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</si>
  <si>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</si>
  <si>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</si>
  <si>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</si>
  <si>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</si>
  <si>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</si>
  <si>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</si>
  <si>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</si>
  <si>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</si>
  <si>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</si>
  <si>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</si>
  <si>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</si>
  <si>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</si>
  <si>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</si>
  <si>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</si>
  <si>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</si>
  <si>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</si>
  <si>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</si>
  <si>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</si>
  <si>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</si>
  <si>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</si>
  <si>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</si>
  <si>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</si>
  <si>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</si>
  <si>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</si>
  <si>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</si>
  <si>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</si>
  <si>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</si>
  <si>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</si>
  <si>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</si>
  <si>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</si>
  <si>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</si>
  <si>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</si>
  <si>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</si>
  <si>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</si>
  <si>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</si>
  <si>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</si>
  <si>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</si>
  <si>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</si>
  <si>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</si>
  <si>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</si>
  <si>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</si>
  <si>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</si>
  <si>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</si>
  <si>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</si>
  <si>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</si>
  <si>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</si>
  <si>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</si>
  <si>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</si>
  <si>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</si>
  <si>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</si>
  <si>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</si>
  <si>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</si>
  <si>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</si>
  <si>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</si>
  <si>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</si>
  <si>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</si>
  <si>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</si>
  <si>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</si>
  <si>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</si>
  <si>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</si>
  <si>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</si>
  <si>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</si>
  <si>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</si>
  <si>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</si>
  <si>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</si>
  <si>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</si>
  <si>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</si>
  <si>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</si>
  <si>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</si>
  <si>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</si>
  <si>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</si>
  <si>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</si>
  <si>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</si>
  <si>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</si>
  <si>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</si>
  <si>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</si>
  <si>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</si>
  <si>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</si>
  <si>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</si>
  <si>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</si>
  <si>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</si>
  <si>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</si>
  <si>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</si>
  <si>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</si>
  <si>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</si>
  <si>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объем заключенного договора в ценах ___ года с НДС, млн. руб.</t>
  </si>
  <si>
    <t>объем заключенного договора в ценах __2016_ года с НДС, млн. руб.</t>
  </si>
  <si>
    <t>освоено по договору, млн. руб. с НДС</t>
  </si>
  <si>
    <t>Сметная стоимость проекта в ценах 2018 года с НДС, млн. руб.</t>
  </si>
  <si>
    <t>УСР</t>
  </si>
  <si>
    <t>АС-185</t>
  </si>
  <si>
    <t>Строительство ВЛ110кВ Л-110 АС185 0,5км</t>
  </si>
  <si>
    <t>I_Che148</t>
  </si>
  <si>
    <t>объем заключенного договора в ценах __2018__года с НДС, млн. руб.</t>
  </si>
  <si>
    <t>Необходимо заключение доп.соглашения</t>
  </si>
  <si>
    <t>ЗП</t>
  </si>
  <si>
    <t>0,5</t>
  </si>
  <si>
    <t>ООО "Лидер"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</si>
  <si>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</si>
  <si>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</si>
  <si>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г.Грозный Заводской р-н</t>
  </si>
  <si>
    <t>+</t>
  </si>
  <si>
    <t>-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</si>
  <si>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</si>
  <si>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- 0,5 км.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</si>
  <si>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годы")</t>
  </si>
  <si>
    <t>не проводились</t>
  </si>
  <si>
    <t xml:space="preserve"> ВЛ110кВ Л-110 АС185 0,5км</t>
  </si>
  <si>
    <t>Исполнение обязательств по договору технологического присоединения №155/2018 28.02.2018</t>
  </si>
  <si>
    <t>Обеспечение выдачи мощности Грозненской ТЭС</t>
  </si>
  <si>
    <t>- ; 8,26 млн.руб./км</t>
  </si>
  <si>
    <t>Разделение на этапы не предусмотрено</t>
  </si>
  <si>
    <t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</si>
  <si>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0,5 км (0,5 км)</t>
  </si>
  <si>
    <t>ПИР</t>
  </si>
  <si>
    <t>30 225,881</t>
  </si>
  <si>
    <t>35345,541</t>
  </si>
  <si>
    <t xml:space="preserve">25.12.2017 </t>
  </si>
  <si>
    <t>26.12.2017</t>
  </si>
  <si>
    <t xml:space="preserve">№155/2018 от 28.02.2018 </t>
  </si>
  <si>
    <t>в работе</t>
  </si>
  <si>
    <t>Грозненская ТЭС</t>
  </si>
  <si>
    <t>ПС 110 кВ "ГРП-110"</t>
  </si>
  <si>
    <t>Строительство отпайки от ВЛ-110кВ ПС Грозный-330 -ПС ГРП  Л-110 на Грозненскую ТЭС протяженностью 0,5 км</t>
  </si>
  <si>
    <t>Договор технологического присоединения от 28.02.2018 №155/2018, заключенный в соответствиеи с правилами ТП (утв. Постановлением Правительства РФ от 27.12.2004г. №861);  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t>
  </si>
  <si>
    <t>2. Реконструкция и техперевооружение.</t>
  </si>
  <si>
    <t>12.2018/12.2018</t>
  </si>
  <si>
    <t>0</t>
  </si>
  <si>
    <t xml:space="preserve">услуги </t>
  </si>
  <si>
    <t xml:space="preserve">ООО "Лидер" / ООО "Сибирь-инжиниринг"/ООО "АВЭС ИНЖИНИРИНГ"/ООО проектно-строительная фирма "Бештаупроект" </t>
  </si>
  <si>
    <t>29 953,84/30 051,06/30 074,75/30 183,50800</t>
  </si>
  <si>
    <t xml:space="preserve">ООО "Сибирь-инжиниринг"/ООО проектно-строительная фирма "Бештаупроект" </t>
  </si>
  <si>
    <t>29 953,84</t>
  </si>
  <si>
    <t>929511</t>
  </si>
  <si>
    <t>www.b2b-mrsk.ru</t>
  </si>
  <si>
    <t>27.11.2017</t>
  </si>
  <si>
    <t>13.12.2017</t>
  </si>
  <si>
    <t>Закупка у ЕИ  не осуществлялась</t>
  </si>
  <si>
    <t>30.06.2018</t>
  </si>
  <si>
    <t>Разработка проектно-сметной документации в целях реализации мероприятий по технологическому присоединению Грозненской ТЭС отражена по инвестиционным проектам I_Che147-I_Che162</t>
  </si>
  <si>
    <t>СМР</t>
  </si>
  <si>
    <t>ООО "Лидер" /                 ООО "Успех"</t>
  </si>
  <si>
    <t>3 566,30/                     3 630,28</t>
  </si>
  <si>
    <t>ООО "Успех"</t>
  </si>
  <si>
    <t>_</t>
  </si>
  <si>
    <t>дополнительное соглашение №4 от 12.11.2018 г.  к договору № 02-18-ЧечЭ от 29.01.2018 г.</t>
  </si>
  <si>
    <t>12.11.2018 г.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</si>
  <si>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</si>
  <si>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</si>
  <si>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</si>
  <si>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</si>
  <si>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</si>
  <si>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</si>
  <si>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</si>
  <si>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Строительство</t>
  </si>
  <si>
    <t>- прочие затраты по объекту, в т.ч.</t>
  </si>
  <si>
    <t>заработная плата производственного персонала</t>
  </si>
  <si>
    <t>проценты за пользование кредитными средствами</t>
  </si>
  <si>
    <t>ООО "Лидер" № 84-17-ЧечЭ от 26.12.2017г.( доп.согл.№1 от20.04.2018г., №2 от 20.08.2018г., № 3 от 22.10.2018г.)( объем затрат по данному объекту составил  0,087733 млн.руб.)</t>
  </si>
  <si>
    <t>ООО "Лидер" договор № 02-18-ЧечеЭ от 29.01.2018г. (доп.согл.№4 от 12.11.2018г.)</t>
  </si>
  <si>
    <t>Дополнительное соглашение № 1 от 20.04.2018г.к договору  № 84-17-ЧечЭ от26.12.2017</t>
  </si>
  <si>
    <t>20.04.2018</t>
  </si>
  <si>
    <t>31.06.2018г.</t>
  </si>
  <si>
    <t>Факт 2018 года</t>
  </si>
  <si>
    <t xml:space="preserve">2019 год </t>
  </si>
  <si>
    <t xml:space="preserve"> по состоянию на 01.01.2018</t>
  </si>
  <si>
    <t>по состоянию на 01.01.2019</t>
  </si>
  <si>
    <t>Итого за год (нарастающим итогом)</t>
  </si>
  <si>
    <t>за отчетный квартал</t>
  </si>
  <si>
    <t>Год раскрытия информации: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</si>
</sst>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60" fillId="0" borderId="0" applyNumberFormat="0" applyFill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59" fillId="0" borderId="0"/>
    <xf numFmtId="0" fontId="28" fillId="0" borderId="0"/>
    <xf numFmtId="0" fontId="59" fillId="0" borderId="0"/>
    <xf numFmtId="0" fontId="13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61" fillId="0" borderId="0"/>
    <xf numFmtId="0" fontId="10" fillId="0" borderId="0"/>
    <xf numFmtId="0" fontId="6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59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4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70">
    <xf numFmtId="0" fontId="0" fillId="0" borderId="0" xfId="0"/>
    <xf numFmtId="0" fontId="62" fillId="0" borderId="0" xfId="58"/>
    <xf numFmtId="0" fontId="5" fillId="0" borderId="0" xfId="58" applyFont="1"/>
    <xf numFmtId="0" fontId="3" fillId="0" borderId="0" xfId="58" applyFont="1" applyAlignment="1">
      <alignment horizontal="center" vertical="center"/>
    </xf>
    <xf numFmtId="0" fontId="6" fillId="0" borderId="0" xfId="58" applyFont="1" applyAlignment="1">
      <alignment vertical="center"/>
    </xf>
    <xf numFmtId="0" fontId="7" fillId="0" borderId="0" xfId="58" applyFont="1" applyAlignment="1">
      <alignment vertical="center"/>
    </xf>
    <xf numFmtId="0" fontId="8" fillId="0" borderId="0" xfId="58" applyFont="1" applyAlignment="1">
      <alignment vertical="center"/>
    </xf>
    <xf numFmtId="0" fontId="9" fillId="0" borderId="0" xfId="58" applyFont="1" applyBorder="1"/>
    <xf numFmtId="0" fontId="3" fillId="0" borderId="0" xfId="58" applyFont="1" applyFill="1" applyBorder="1" applyAlignment="1">
      <alignment horizontal="center" vertical="center"/>
    </xf>
    <xf numFmtId="0" fontId="3" fillId="0" borderId="0" xfId="58" applyFont="1" applyFill="1" applyBorder="1" applyAlignment="1">
      <alignment vertical="center"/>
    </xf>
    <xf numFmtId="0" fontId="9" fillId="0" borderId="0" xfId="58" applyFont="1"/>
    <xf numFmtId="0" fontId="4" fillId="0" borderId="0" xfId="58" applyFont="1" applyAlignment="1">
      <alignment vertical="center"/>
    </xf>
    <xf numFmtId="0" fontId="4" fillId="0" borderId="0" xfId="58" applyFont="1" applyAlignment="1">
      <alignment horizontal="center" vertical="center"/>
    </xf>
    <xf numFmtId="0" fontId="11" fillId="0" borderId="0" xfId="44" applyFont="1" applyAlignment="1">
      <alignment horizontal="right"/>
    </xf>
    <xf numFmtId="0" fontId="9" fillId="0" borderId="0" xfId="58" applyFont="1" applyFill="1"/>
    <xf numFmtId="0" fontId="12" fillId="0" borderId="0" xfId="58" applyFont="1" applyAlignment="1">
      <alignment horizontal="left" vertical="center"/>
    </xf>
    <xf numFmtId="0" fontId="14" fillId="0" borderId="0" xfId="58" applyFont="1"/>
    <xf numFmtId="0" fontId="62" fillId="0" borderId="0" xfId="58" applyBorder="1"/>
    <xf numFmtId="49" fontId="6" fillId="0" borderId="10" xfId="58" applyNumberFormat="1" applyFont="1" applyFill="1" applyBorder="1" applyAlignment="1">
      <alignment vertical="center"/>
    </xf>
    <xf numFmtId="0" fontId="6" fillId="0" borderId="10" xfId="58" applyFont="1" applyBorder="1" applyAlignment="1">
      <alignment vertical="center" wrapText="1"/>
    </xf>
    <xf numFmtId="0" fontId="6" fillId="0" borderId="11" xfId="58" applyFont="1" applyBorder="1" applyAlignment="1">
      <alignment vertical="center" wrapText="1"/>
    </xf>
    <xf numFmtId="0" fontId="5" fillId="0" borderId="0" xfId="58" applyFont="1" applyBorder="1"/>
    <xf numFmtId="0" fontId="3" fillId="0" borderId="0" xfId="58" applyFont="1" applyBorder="1" applyAlignment="1">
      <alignment horizontal="center" vertical="center"/>
    </xf>
    <xf numFmtId="0" fontId="6" fillId="0" borderId="0" xfId="58" applyFont="1" applyBorder="1" applyAlignment="1">
      <alignment vertical="center"/>
    </xf>
    <xf numFmtId="0" fontId="10" fillId="0" borderId="11" xfId="44" applyFont="1" applyFill="1" applyBorder="1" applyAlignment="1">
      <alignment vertical="center" wrapText="1"/>
    </xf>
    <xf numFmtId="0" fontId="5" fillId="24" borderId="0" xfId="58" applyFont="1" applyFill="1"/>
    <xf numFmtId="0" fontId="5" fillId="24" borderId="0" xfId="58" applyFont="1" applyFill="1" applyBorder="1"/>
    <xf numFmtId="0" fontId="3" fillId="24" borderId="0" xfId="58" applyFont="1" applyFill="1" applyBorder="1" applyAlignment="1">
      <alignment horizontal="center" vertical="center"/>
    </xf>
    <xf numFmtId="0" fontId="6" fillId="24" borderId="0" xfId="58" applyFont="1" applyFill="1" applyBorder="1" applyAlignment="1">
      <alignment vertical="center"/>
    </xf>
    <xf numFmtId="0" fontId="6" fillId="0" borderId="10" xfId="58" applyFont="1" applyFill="1" applyBorder="1" applyAlignment="1">
      <alignment vertical="center" wrapText="1"/>
    </xf>
    <xf numFmtId="0" fontId="6" fillId="0" borderId="11" xfId="58" applyFont="1" applyFill="1" applyBorder="1" applyAlignment="1">
      <alignment vertical="center" wrapText="1"/>
    </xf>
    <xf numFmtId="0" fontId="6" fillId="0" borderId="10" xfId="58" applyFont="1" applyBorder="1" applyAlignment="1">
      <alignment horizontal="center" vertical="center" wrapText="1"/>
    </xf>
    <xf numFmtId="0" fontId="6" fillId="0" borderId="11" xfId="58" applyFont="1" applyBorder="1" applyAlignment="1">
      <alignment horizontal="center" vertical="center" wrapText="1"/>
    </xf>
    <xf numFmtId="0" fontId="11" fillId="0" borderId="0" xfId="44" applyFont="1" applyAlignment="1">
      <alignment horizontal="right" vertical="center"/>
    </xf>
    <xf numFmtId="0" fontId="6" fillId="0" borderId="10" xfId="58" applyFont="1" applyBorder="1" applyAlignment="1">
      <alignment horizontal="left" vertical="center" wrapText="1"/>
    </xf>
    <xf numFmtId="0" fontId="6" fillId="0" borderId="11" xfId="58" applyFont="1" applyBorder="1" applyAlignment="1">
      <alignment horizontal="left" vertical="center" wrapText="1"/>
    </xf>
    <xf numFmtId="0" fontId="10" fillId="0" borderId="0" xfId="44" applyFont="1" applyFill="1" applyAlignment="1">
      <alignment horizontal="right"/>
    </xf>
    <xf numFmtId="0" fontId="10" fillId="0" borderId="10" xfId="44" applyFont="1" applyFill="1" applyBorder="1" applyAlignment="1">
      <alignment horizontal="left" vertical="center" wrapText="1"/>
    </xf>
    <xf numFmtId="0" fontId="10" fillId="0" borderId="0" xfId="42" applyFont="1" applyAlignment="1">
      <alignment horizontal="left"/>
    </xf>
    <xf numFmtId="0" fontId="10" fillId="0" borderId="0" xfId="42" applyFont="1" applyBorder="1" applyAlignment="1">
      <alignment horizontal="left"/>
    </xf>
    <xf numFmtId="0" fontId="10" fillId="0" borderId="0" xfId="42" applyNumberFormat="1" applyFont="1" applyBorder="1" applyAlignment="1">
      <alignment horizontal="left" vertical="center"/>
    </xf>
    <xf numFmtId="0" fontId="10" fillId="0" borderId="0" xfId="42" applyNumberFormat="1" applyFont="1" applyBorder="1" applyAlignment="1">
      <alignment vertical="center"/>
    </xf>
    <xf numFmtId="0" fontId="39" fillId="0" borderId="0" xfId="42" applyFont="1" applyAlignment="1">
      <alignment horizontal="left"/>
    </xf>
    <xf numFmtId="0" fontId="40" fillId="0" borderId="0" xfId="42" applyFont="1" applyAlignment="1">
      <alignment horizontal="left"/>
    </xf>
    <xf numFmtId="0" fontId="10" fillId="0" borderId="0" xfId="42" applyFont="1" applyAlignment="1">
      <alignment horizontal="left" vertical="center"/>
    </xf>
    <xf numFmtId="0" fontId="10" fillId="0" borderId="10" xfId="42" applyFont="1" applyBorder="1" applyAlignment="1">
      <alignment horizontal="center" vertical="top"/>
    </xf>
    <xf numFmtId="0" fontId="10" fillId="0" borderId="0" xfId="44" applyFont="1"/>
    <xf numFmtId="0" fontId="10" fillId="0" borderId="0" xfId="44" applyFont="1" applyFill="1"/>
    <xf numFmtId="0" fontId="10" fillId="0" borderId="0" xfId="44" applyFont="1" applyFill="1" applyAlignment="1">
      <alignment horizontal="left" vertical="center" wrapText="1"/>
    </xf>
    <xf numFmtId="0" fontId="10" fillId="0" borderId="0" xfId="44" applyFont="1" applyFill="1" applyBorder="1" applyAlignment="1"/>
    <xf numFmtId="0" fontId="10" fillId="0" borderId="0" xfId="44" applyFont="1" applyFill="1" applyBorder="1" applyAlignment="1">
      <alignment horizontal="left"/>
    </xf>
    <xf numFmtId="0" fontId="10" fillId="0" borderId="0" xfId="44" applyFont="1" applyFill="1" applyBorder="1" applyAlignment="1">
      <alignment horizontal="left" wrapText="1"/>
    </xf>
    <xf numFmtId="0" fontId="10" fillId="0" borderId="0" xfId="44" applyFont="1" applyFill="1" applyAlignment="1">
      <alignment horizontal="left" wrapText="1"/>
    </xf>
    <xf numFmtId="0" fontId="10" fillId="0" borderId="0" xfId="44" applyFont="1" applyFill="1" applyBorder="1"/>
    <xf numFmtId="0" fontId="10" fillId="0" borderId="0" xfId="44" applyFont="1" applyFill="1" applyBorder="1" applyAlignment="1">
      <alignment horizontal="center" vertical="center" wrapText="1"/>
    </xf>
    <xf numFmtId="0" fontId="10" fillId="0" borderId="0" xfId="44" applyFont="1" applyFill="1" applyBorder="1" applyAlignment="1">
      <alignment horizontal="left" vertical="center" wrapText="1"/>
    </xf>
    <xf numFmtId="0" fontId="37" fillId="0" borderId="10" xfId="44" applyFont="1" applyFill="1" applyBorder="1" applyAlignment="1">
      <alignment horizontal="center" vertical="center" wrapText="1"/>
    </xf>
    <xf numFmtId="49" fontId="10" fillId="0" borderId="10" xfId="44" applyNumberFormat="1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left" vertical="center" wrapText="1"/>
    </xf>
    <xf numFmtId="49" fontId="37" fillId="0" borderId="10" xfId="44" applyNumberFormat="1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left" vertical="center" wrapText="1"/>
    </xf>
    <xf numFmtId="0" fontId="11" fillId="0" borderId="0" xfId="44" applyFont="1" applyFill="1" applyAlignment="1"/>
    <xf numFmtId="0" fontId="7" fillId="0" borderId="0" xfId="44" applyFont="1" applyFill="1" applyAlignment="1">
      <alignment vertical="center"/>
    </xf>
    <xf numFmtId="0" fontId="37" fillId="0" borderId="10" xfId="44" applyNumberFormat="1" applyFont="1" applyFill="1" applyBorder="1" applyAlignment="1">
      <alignment horizontal="center" vertical="top" wrapText="1"/>
    </xf>
    <xf numFmtId="0" fontId="10" fillId="0" borderId="0" xfId="44" applyFont="1" applyBorder="1" applyAlignment="1"/>
    <xf numFmtId="0" fontId="10" fillId="0" borderId="0" xfId="44" applyFont="1" applyAlignment="1">
      <alignment horizontal="right"/>
    </xf>
    <xf numFmtId="0" fontId="37" fillId="0" borderId="0" xfId="44" applyFont="1" applyFill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10" xfId="42" applyFont="1" applyBorder="1" applyAlignment="1">
      <alignment horizontal="center" vertical="center" wrapText="1"/>
    </xf>
    <xf numFmtId="0" fontId="37" fillId="0" borderId="12" xfId="42" applyFont="1" applyBorder="1" applyAlignment="1">
      <alignment horizontal="center" vertical="center" wrapText="1"/>
    </xf>
    <xf numFmtId="0" fontId="37" fillId="0" borderId="10" xfId="42" applyFont="1" applyBorder="1" applyAlignment="1">
      <alignment horizontal="center" vertical="top"/>
    </xf>
    <xf numFmtId="0" fontId="35" fillId="0" borderId="0" xfId="44" applyFont="1" applyFill="1"/>
    <xf numFmtId="0" fontId="10" fillId="0" borderId="0" xfId="44" applyFill="1"/>
    <xf numFmtId="2" fontId="43" fillId="0" borderId="0" xfId="44" applyNumberFormat="1" applyFont="1" applyFill="1" applyAlignment="1">
      <alignment horizontal="right" vertical="top" wrapText="1"/>
    </xf>
    <xf numFmtId="0" fontId="35" fillId="0" borderId="0" xfId="44" applyFont="1" applyFill="1" applyAlignment="1">
      <alignment horizontal="right"/>
    </xf>
    <xf numFmtId="0" fontId="36" fillId="0" borderId="15" xfId="44" applyFont="1" applyFill="1" applyBorder="1" applyAlignment="1">
      <alignment horizontal="left" vertical="center" wrapText="1"/>
    </xf>
    <xf numFmtId="0" fontId="36" fillId="0" borderId="15" xfId="44" applyFont="1" applyFill="1" applyBorder="1" applyAlignment="1">
      <alignment horizontal="center" vertical="center" wrapText="1"/>
    </xf>
    <xf numFmtId="1" fontId="36" fillId="0" borderId="0" xfId="44" applyNumberFormat="1" applyFont="1" applyFill="1" applyAlignment="1">
      <alignment horizontal="left" vertical="top"/>
    </xf>
    <xf numFmtId="49" fontId="35" fillId="0" borderId="0" xfId="44" applyNumberFormat="1" applyFont="1" applyFill="1" applyAlignment="1">
      <alignment horizontal="left" vertical="top" wrapText="1"/>
    </xf>
    <xf numFmtId="49" fontId="35" fillId="0" borderId="0" xfId="44" applyNumberFormat="1" applyFont="1" applyFill="1" applyBorder="1" applyAlignment="1">
      <alignment horizontal="left" vertical="top"/>
    </xf>
    <xf numFmtId="0" fontId="35" fillId="0" borderId="0" xfId="44" applyFont="1" applyFill="1" applyBorder="1" applyAlignment="1">
      <alignment horizontal="center" vertical="center"/>
    </xf>
    <xf numFmtId="0" fontId="42" fillId="0" borderId="0" xfId="44" applyFont="1" applyFill="1" applyAlignment="1">
      <alignment horizontal="center"/>
    </xf>
    <xf numFmtId="0" fontId="6" fillId="0" borderId="10" xfId="58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37" fillId="0" borderId="12" xfId="42" applyFont="1" applyFill="1" applyBorder="1" applyAlignment="1">
      <alignment horizontal="center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6" fillId="25" borderId="11" xfId="58" applyFont="1" applyFill="1" applyBorder="1" applyAlignment="1">
      <alignment vertical="center" wrapText="1"/>
    </xf>
    <xf numFmtId="0" fontId="36" fillId="0" borderId="15" xfId="44" applyFont="1" applyFill="1" applyBorder="1" applyAlignment="1">
      <alignment vertical="center" wrapText="1"/>
    </xf>
    <xf numFmtId="0" fontId="35" fillId="0" borderId="16" xfId="44" applyFont="1" applyFill="1" applyBorder="1" applyAlignment="1">
      <alignment vertical="center" wrapText="1"/>
    </xf>
    <xf numFmtId="0" fontId="35" fillId="0" borderId="17" xfId="44" applyFont="1" applyFill="1" applyBorder="1" applyAlignment="1">
      <alignment vertical="center" wrapText="1"/>
    </xf>
    <xf numFmtId="2" fontId="10" fillId="0" borderId="0" xfId="44" applyNumberFormat="1" applyFont="1" applyFill="1" applyBorder="1" applyAlignment="1">
      <alignment horizontal="left" vertical="center" wrapText="1"/>
    </xf>
    <xf numFmtId="0" fontId="14" fillId="0" borderId="0" xfId="58" applyFont="1" applyFill="1"/>
    <xf numFmtId="0" fontId="11" fillId="0" borderId="0" xfId="44" applyFont="1" applyFill="1" applyAlignment="1">
      <alignment horizontal="right" vertical="center"/>
    </xf>
    <xf numFmtId="0" fontId="11" fillId="0" borderId="0" xfId="44" applyFont="1" applyFill="1" applyAlignment="1">
      <alignment horizontal="right"/>
    </xf>
    <xf numFmtId="0" fontId="12" fillId="0" borderId="0" xfId="58" applyFont="1" applyFill="1" applyAlignment="1">
      <alignment horizontal="left" vertical="center"/>
    </xf>
    <xf numFmtId="0" fontId="12" fillId="0" borderId="0" xfId="58" applyFont="1" applyFill="1" applyAlignment="1">
      <alignment horizontal="center" vertical="center"/>
    </xf>
    <xf numFmtId="0" fontId="9" fillId="0" borderId="0" xfId="58" applyFont="1" applyFill="1" applyAlignment="1">
      <alignment horizontal="center"/>
    </xf>
    <xf numFmtId="0" fontId="4" fillId="0" borderId="0" xfId="58" applyFont="1" applyFill="1" applyAlignment="1">
      <alignment horizontal="center" vertical="center"/>
    </xf>
    <xf numFmtId="0" fontId="3" fillId="0" borderId="0" xfId="58" applyFont="1" applyFill="1" applyAlignment="1">
      <alignment horizontal="center" vertical="center"/>
    </xf>
    <xf numFmtId="0" fontId="59" fillId="0" borderId="0" xfId="59" applyFill="1"/>
    <xf numFmtId="0" fontId="34" fillId="25" borderId="18" xfId="44" applyFont="1" applyFill="1" applyBorder="1" applyAlignment="1">
      <alignment horizontal="center" vertical="center" wrapText="1"/>
    </xf>
    <xf numFmtId="0" fontId="34" fillId="25" borderId="14" xfId="44" applyFont="1" applyFill="1" applyBorder="1" applyAlignment="1">
      <alignment horizontal="center" vertical="center" wrapText="1"/>
    </xf>
    <xf numFmtId="0" fontId="34" fillId="25" borderId="19" xfId="44" applyFont="1" applyFill="1" applyBorder="1" applyAlignment="1">
      <alignment horizontal="center" vertical="center" wrapText="1"/>
    </xf>
    <xf numFmtId="4" fontId="10" fillId="25" borderId="10" xfId="44" applyNumberFormat="1" applyFont="1" applyFill="1" applyBorder="1" applyAlignment="1">
      <alignment horizontal="center" vertical="center" wrapText="1"/>
    </xf>
    <xf numFmtId="3" fontId="10" fillId="25" borderId="10" xfId="44" applyNumberFormat="1" applyFont="1" applyFill="1" applyBorder="1" applyAlignment="1">
      <alignment horizontal="center" vertical="center" wrapText="1"/>
    </xf>
    <xf numFmtId="9" fontId="10" fillId="25" borderId="10" xfId="65" applyFont="1" applyFill="1" applyBorder="1" applyAlignment="1">
      <alignment horizontal="center" vertical="center" wrapText="1"/>
    </xf>
    <xf numFmtId="0" fontId="10" fillId="0" borderId="0" xfId="44" applyFont="1" applyAlignment="1">
      <alignment vertical="center" wrapText="1"/>
    </xf>
    <xf numFmtId="0" fontId="10" fillId="0" borderId="10" xfId="42" applyNumberFormat="1" applyFont="1" applyBorder="1" applyAlignment="1">
      <alignment horizontal="left" vertical="center" wrapText="1"/>
    </xf>
    <xf numFmtId="49" fontId="6" fillId="0" borderId="10" xfId="58" applyNumberFormat="1" applyFont="1" applyFill="1" applyBorder="1" applyAlignment="1">
      <alignment horizontal="center" vertical="center" wrapText="1"/>
    </xf>
    <xf numFmtId="0" fontId="47" fillId="0" borderId="10" xfId="58" applyFont="1" applyFill="1" applyBorder="1" applyAlignment="1">
      <alignment vertical="center" wrapText="1"/>
    </xf>
    <xf numFmtId="0" fontId="10" fillId="25" borderId="10" xfId="0" applyFont="1" applyFill="1" applyBorder="1" applyAlignment="1">
      <alignment vertical="center" wrapText="1"/>
    </xf>
    <xf numFmtId="49" fontId="6" fillId="0" borderId="10" xfId="58" applyNumberFormat="1" applyFont="1" applyFill="1" applyBorder="1" applyAlignment="1">
      <alignment horizontal="left" vertical="center" wrapText="1"/>
    </xf>
    <xf numFmtId="0" fontId="5" fillId="0" borderId="0" xfId="58" applyFont="1" applyFill="1"/>
    <xf numFmtId="0" fontId="34" fillId="0" borderId="10" xfId="58" applyFont="1" applyBorder="1" applyAlignment="1">
      <alignment horizontal="center" vertical="center" wrapText="1"/>
    </xf>
    <xf numFmtId="0" fontId="48" fillId="0" borderId="10" xfId="44" applyFont="1" applyFill="1" applyBorder="1" applyAlignment="1">
      <alignment horizontal="center" vertical="center" wrapText="1"/>
    </xf>
    <xf numFmtId="0" fontId="34" fillId="0" borderId="11" xfId="58" applyFont="1" applyBorder="1" applyAlignment="1">
      <alignment horizontal="center" vertical="center" wrapText="1"/>
    </xf>
    <xf numFmtId="0" fontId="49" fillId="0" borderId="0" xfId="55" applyFont="1" applyFill="1" applyAlignment="1"/>
    <xf numFmtId="0" fontId="0" fillId="0" borderId="0" xfId="0" applyFill="1"/>
    <xf numFmtId="0" fontId="49" fillId="0" borderId="0" xfId="55" applyFont="1" applyAlignment="1"/>
    <xf numFmtId="0" fontId="48" fillId="0" borderId="0" xfId="55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8" applyFont="1" applyBorder="1" applyAlignment="1">
      <alignment horizontal="center" vertical="center"/>
    </xf>
    <xf numFmtId="0" fontId="4" fillId="0" borderId="10" xfId="58" applyFont="1" applyBorder="1" applyAlignment="1">
      <alignment horizontal="center" vertical="center"/>
    </xf>
    <xf numFmtId="49" fontId="6" fillId="0" borderId="10" xfId="58" applyNumberFormat="1" applyFont="1" applyBorder="1" applyAlignment="1">
      <alignment vertical="center"/>
    </xf>
    <xf numFmtId="0" fontId="49" fillId="25" borderId="0" xfId="54" applyFont="1" applyFill="1"/>
    <xf numFmtId="0" fontId="54" fillId="25" borderId="10" xfId="54" applyFont="1" applyFill="1" applyBorder="1" applyAlignment="1">
      <alignment horizontal="center" vertical="center"/>
    </xf>
    <xf numFmtId="0" fontId="54" fillId="25" borderId="0" xfId="54" applyFont="1" applyFill="1"/>
    <xf numFmtId="0" fontId="35" fillId="0" borderId="21" xfId="44" applyFont="1" applyFill="1" applyBorder="1" applyAlignment="1">
      <alignment vertical="center" wrapText="1"/>
    </xf>
    <xf numFmtId="0" fontId="34" fillId="25" borderId="22" xfId="58" applyFont="1" applyFill="1" applyBorder="1" applyAlignment="1">
      <alignment vertical="center" wrapText="1"/>
    </xf>
    <xf numFmtId="0" fontId="34" fillId="25" borderId="20" xfId="58" applyFont="1" applyFill="1" applyBorder="1" applyAlignment="1">
      <alignment vertical="center" wrapText="1"/>
    </xf>
    <xf numFmtId="49" fontId="6" fillId="0" borderId="10" xfId="58" applyNumberFormat="1" applyFont="1" applyFill="1" applyBorder="1" applyAlignment="1">
      <alignment vertical="center" wrapText="1"/>
    </xf>
    <xf numFmtId="0" fontId="10" fillId="25" borderId="10" xfId="44" applyFont="1" applyFill="1" applyBorder="1" applyAlignment="1">
      <alignment horizontal="left" vertical="center" wrapText="1"/>
    </xf>
    <xf numFmtId="0" fontId="5" fillId="0" borderId="0" xfId="58" applyFont="1" applyAlignment="1">
      <alignment vertical="center" wrapText="1"/>
    </xf>
    <xf numFmtId="0" fontId="62" fillId="0" borderId="0" xfId="58" applyAlignment="1">
      <alignment vertical="center" wrapText="1"/>
    </xf>
    <xf numFmtId="2" fontId="55" fillId="0" borderId="10" xfId="58" applyNumberFormat="1" applyFont="1" applyBorder="1" applyAlignment="1">
      <alignment horizontal="left"/>
    </xf>
    <xf numFmtId="2" fontId="6" fillId="0" borderId="10" xfId="58" applyNumberFormat="1" applyFont="1" applyBorder="1" applyAlignment="1">
      <alignment horizontal="left"/>
    </xf>
    <xf numFmtId="0" fontId="37" fillId="0" borderId="10" xfId="44" applyNumberFormat="1" applyFont="1" applyBorder="1" applyAlignment="1">
      <alignment horizontal="center" vertical="center" wrapText="1"/>
    </xf>
    <xf numFmtId="0" fontId="37" fillId="0" borderId="10" xfId="44" applyFont="1" applyBorder="1" applyAlignment="1">
      <alignment vertical="center" wrapText="1"/>
    </xf>
    <xf numFmtId="0" fontId="10" fillId="0" borderId="10" xfId="44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4" applyFont="1" applyFill="1" applyAlignment="1">
      <alignment vertical="center" wrapText="1"/>
    </xf>
    <xf numFmtId="0" fontId="10" fillId="0" borderId="10" xfId="44" applyFont="1" applyBorder="1" applyAlignment="1">
      <alignment vertical="center" wrapText="1"/>
    </xf>
    <xf numFmtId="0" fontId="10" fillId="0" borderId="0" xfId="44" applyFont="1" applyFill="1" applyBorder="1" applyAlignment="1">
      <alignment vertical="center" wrapText="1"/>
    </xf>
    <xf numFmtId="9" fontId="10" fillId="0" borderId="10" xfId="44" applyNumberFormat="1" applyFont="1" applyFill="1" applyBorder="1" applyAlignment="1">
      <alignment horizontal="center" vertical="center" wrapText="1"/>
    </xf>
    <xf numFmtId="0" fontId="10" fillId="0" borderId="10" xfId="44" applyFont="1" applyBorder="1" applyAlignment="1">
      <alignment horizontal="justify" vertical="center" wrapText="1"/>
    </xf>
    <xf numFmtId="0" fontId="6" fillId="0" borderId="0" xfId="58" applyFont="1" applyFill="1" applyBorder="1" applyAlignment="1">
      <alignment vertical="center"/>
    </xf>
    <xf numFmtId="0" fontId="35" fillId="0" borderId="23" xfId="44" applyFont="1" applyFill="1" applyBorder="1" applyAlignment="1">
      <alignment horizontal="justify" vertical="center" wrapText="1"/>
    </xf>
    <xf numFmtId="2" fontId="35" fillId="0" borderId="23" xfId="44" applyNumberFormat="1" applyFont="1" applyFill="1" applyBorder="1" applyAlignment="1">
      <alignment horizontal="justify" vertical="center" wrapText="1"/>
    </xf>
    <xf numFmtId="0" fontId="36" fillId="0" borderId="23" xfId="44" applyFont="1" applyFill="1" applyBorder="1" applyAlignment="1">
      <alignment horizontal="justify" vertical="center" wrapText="1"/>
    </xf>
    <xf numFmtId="0" fontId="10" fillId="0" borderId="10" xfId="42" applyNumberFormat="1" applyFont="1" applyBorder="1" applyAlignment="1">
      <alignment horizontal="center" vertical="center" wrapText="1"/>
    </xf>
    <xf numFmtId="2" fontId="6" fillId="26" borderId="10" xfId="58" applyNumberFormat="1" applyFont="1" applyFill="1" applyBorder="1" applyAlignment="1">
      <alignment horizontal="left" vertical="center" wrapText="1"/>
    </xf>
    <xf numFmtId="0" fontId="39" fillId="0" borderId="10" xfId="42" applyFont="1" applyBorder="1" applyAlignment="1">
      <alignment horizontal="center" vertical="center"/>
    </xf>
    <xf numFmtId="0" fontId="39" fillId="0" borderId="10" xfId="42" applyFont="1" applyBorder="1" applyAlignment="1">
      <alignment horizontal="center" vertical="center" wrapText="1"/>
    </xf>
    <xf numFmtId="0" fontId="39" fillId="25" borderId="10" xfId="42" applyFont="1" applyFill="1" applyBorder="1" applyAlignment="1">
      <alignment horizontal="center" vertical="center" wrapText="1"/>
    </xf>
    <xf numFmtId="0" fontId="39" fillId="26" borderId="10" xfId="42" applyNumberFormat="1" applyFont="1" applyFill="1" applyBorder="1" applyAlignment="1">
      <alignment horizontal="center" vertical="center" wrapText="1"/>
    </xf>
    <xf numFmtId="0" fontId="39" fillId="26" borderId="10" xfId="42" applyFont="1" applyFill="1" applyBorder="1" applyAlignment="1">
      <alignment horizontal="center" vertical="center" wrapText="1"/>
    </xf>
    <xf numFmtId="49" fontId="39" fillId="0" borderId="10" xfId="42" applyNumberFormat="1" applyFont="1" applyBorder="1" applyAlignment="1">
      <alignment horizontal="center" vertical="center"/>
    </xf>
    <xf numFmtId="0" fontId="39" fillId="0" borderId="0" xfId="42" applyFont="1" applyAlignment="1">
      <alignment horizontal="center" vertical="center"/>
    </xf>
    <xf numFmtId="0" fontId="10" fillId="0" borderId="0" xfId="44" applyFill="1" applyAlignment="1">
      <alignment vertical="center" wrapText="1"/>
    </xf>
    <xf numFmtId="0" fontId="35" fillId="0" borderId="15" xfId="44" applyFont="1" applyFill="1" applyBorder="1" applyAlignment="1">
      <alignment horizontal="justify" vertical="center" wrapText="1"/>
    </xf>
    <xf numFmtId="0" fontId="36" fillId="0" borderId="23" xfId="44" applyFont="1" applyFill="1" applyBorder="1" applyAlignment="1">
      <alignment vertical="center" wrapText="1"/>
    </xf>
    <xf numFmtId="0" fontId="36" fillId="0" borderId="17" xfId="44" applyFont="1" applyFill="1" applyBorder="1" applyAlignment="1">
      <alignment vertical="center" wrapText="1"/>
    </xf>
    <xf numFmtId="0" fontId="35" fillId="0" borderId="24" xfId="44" applyFont="1" applyFill="1" applyBorder="1" applyAlignment="1">
      <alignment horizontal="justify" vertical="center" wrapText="1"/>
    </xf>
    <xf numFmtId="0" fontId="36" fillId="0" borderId="17" xfId="44" applyFont="1" applyFill="1" applyBorder="1" applyAlignment="1">
      <alignment horizontal="justify" vertical="center" wrapText="1"/>
    </xf>
    <xf numFmtId="9" fontId="35" fillId="0" borderId="23" xfId="65" applyFont="1" applyFill="1" applyBorder="1" applyAlignment="1">
      <alignment horizontal="justify" vertical="center" wrapText="1"/>
    </xf>
    <xf numFmtId="0" fontId="35" fillId="0" borderId="15" xfId="44" applyFont="1" applyFill="1" applyBorder="1" applyAlignment="1">
      <alignment vertical="center" wrapText="1"/>
    </xf>
    <xf numFmtId="0" fontId="35" fillId="0" borderId="23" xfId="44" applyFont="1" applyFill="1" applyBorder="1" applyAlignment="1">
      <alignment vertical="center" wrapText="1"/>
    </xf>
    <xf numFmtId="0" fontId="35" fillId="0" borderId="25" xfId="44" applyFont="1" applyFill="1" applyBorder="1" applyAlignment="1">
      <alignment horizontal="justify" vertical="center" wrapText="1"/>
    </xf>
    <xf numFmtId="0" fontId="35" fillId="0" borderId="26" xfId="44" applyFont="1" applyFill="1" applyBorder="1" applyAlignment="1">
      <alignment horizontal="justify" vertical="center" wrapText="1"/>
    </xf>
    <xf numFmtId="0" fontId="36" fillId="0" borderId="23" xfId="44" applyFont="1" applyFill="1" applyBorder="1" applyAlignment="1">
      <alignment horizontal="center" vertical="center" wrapText="1"/>
    </xf>
    <xf numFmtId="0" fontId="62" fillId="0" borderId="10" xfId="58" applyBorder="1" applyAlignment="1">
      <alignment vertical="center" wrapText="1"/>
    </xf>
    <xf numFmtId="0" fontId="10" fillId="0" borderId="10" xfId="42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10" fillId="0" borderId="10" xfId="42" applyFont="1" applyBorder="1" applyAlignment="1">
      <alignment horizontal="center" vertical="center" wrapText="1"/>
    </xf>
    <xf numFmtId="49" fontId="10" fillId="0" borderId="10" xfId="42" applyNumberFormat="1" applyFont="1" applyBorder="1" applyAlignment="1">
      <alignment horizontal="center" vertical="center" wrapText="1"/>
    </xf>
    <xf numFmtId="0" fontId="10" fillId="0" borderId="0" xfId="42" applyFont="1" applyAlignment="1">
      <alignment horizontal="left" vertical="center" wrapText="1"/>
    </xf>
    <xf numFmtId="14" fontId="10" fillId="0" borderId="10" xfId="44" applyNumberFormat="1" applyFont="1" applyFill="1" applyBorder="1" applyAlignment="1">
      <alignment horizontal="center" vertical="center" wrapText="1"/>
    </xf>
    <xf numFmtId="14" fontId="10" fillId="0" borderId="10" xfId="44" applyNumberFormat="1" applyFont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/>
    </xf>
    <xf numFmtId="9" fontId="10" fillId="0" borderId="10" xfId="65" applyFont="1" applyFill="1" applyBorder="1" applyAlignment="1">
      <alignment horizontal="center" vertical="center"/>
    </xf>
    <xf numFmtId="14" fontId="10" fillId="0" borderId="10" xfId="44" applyNumberFormat="1" applyFont="1" applyFill="1" applyBorder="1" applyAlignment="1">
      <alignment horizontal="center" vertical="center"/>
    </xf>
    <xf numFmtId="1" fontId="57" fillId="25" borderId="10" xfId="54" applyNumberFormat="1" applyFont="1" applyFill="1" applyBorder="1" applyAlignment="1">
      <alignment horizontal="center" vertical="center" wrapText="1"/>
    </xf>
    <xf numFmtId="49" fontId="57" fillId="25" borderId="10" xfId="54" applyNumberFormat="1" applyFont="1" applyFill="1" applyBorder="1" applyAlignment="1">
      <alignment horizontal="center" vertical="center" wrapText="1"/>
    </xf>
    <xf numFmtId="49" fontId="57" fillId="26" borderId="10" xfId="54" applyNumberFormat="1" applyFont="1" applyFill="1" applyBorder="1" applyAlignment="1">
      <alignment horizontal="center" vertical="center" wrapText="1"/>
    </xf>
    <xf numFmtId="4" fontId="57" fillId="26" borderId="10" xfId="54" applyNumberFormat="1" applyFont="1" applyFill="1" applyBorder="1" applyAlignment="1">
      <alignment horizontal="center" vertical="center" wrapText="1"/>
    </xf>
    <xf numFmtId="49" fontId="60" fillId="26" borderId="10" xfId="29" applyNumberFormat="1" applyFill="1" applyBorder="1" applyAlignment="1">
      <alignment horizontal="center" vertical="center" wrapText="1"/>
    </xf>
    <xf numFmtId="0" fontId="49" fillId="0" borderId="0" xfId="54" applyFont="1" applyFill="1"/>
    <xf numFmtId="0" fontId="54" fillId="25" borderId="10" xfId="54" applyFont="1" applyFill="1" applyBorder="1"/>
    <xf numFmtId="0" fontId="34" fillId="0" borderId="10" xfId="54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/>
    </xf>
    <xf numFmtId="0" fontId="57" fillId="27" borderId="0" xfId="54" applyFont="1" applyFill="1" applyAlignment="1">
      <alignment vertical="center" wrapText="1"/>
    </xf>
    <xf numFmtId="0" fontId="49" fillId="26" borderId="10" xfId="54" applyFont="1" applyFill="1" applyBorder="1" applyAlignment="1">
      <alignment horizontal="center" vertical="center" wrapText="1"/>
    </xf>
    <xf numFmtId="4" fontId="49" fillId="26" borderId="10" xfId="54" applyNumberFormat="1" applyFont="1" applyFill="1" applyBorder="1" applyAlignment="1">
      <alignment horizontal="center" vertical="center" wrapText="1"/>
    </xf>
    <xf numFmtId="49" fontId="49" fillId="26" borderId="10" xfId="54" applyNumberFormat="1" applyFont="1" applyFill="1" applyBorder="1" applyAlignment="1">
      <alignment horizontal="center" vertical="center" wrapText="1"/>
    </xf>
    <xf numFmtId="4" fontId="63" fillId="26" borderId="10" xfId="54" applyNumberFormat="1" applyFont="1" applyFill="1" applyBorder="1" applyAlignment="1">
      <alignment horizontal="center" vertical="center" wrapText="1"/>
    </xf>
    <xf numFmtId="14" fontId="49" fillId="26" borderId="10" xfId="54" applyNumberFormat="1" applyFont="1" applyFill="1" applyBorder="1" applyAlignment="1">
      <alignment horizontal="center" vertical="center" wrapText="1"/>
    </xf>
    <xf numFmtId="0" fontId="49" fillId="26" borderId="0" xfId="54" applyFont="1" applyFill="1" applyAlignment="1">
      <alignment vertical="center" wrapText="1"/>
    </xf>
    <xf numFmtId="4" fontId="49" fillId="26" borderId="10" xfId="54" applyNumberFormat="1" applyFont="1" applyFill="1" applyBorder="1" applyAlignment="1">
      <alignment vertical="center" wrapText="1"/>
    </xf>
    <xf numFmtId="0" fontId="49" fillId="26" borderId="10" xfId="54" applyFont="1" applyFill="1" applyBorder="1" applyAlignment="1">
      <alignment vertical="center" wrapText="1"/>
    </xf>
    <xf numFmtId="14" fontId="49" fillId="26" borderId="10" xfId="54" applyNumberFormat="1" applyFont="1" applyFill="1" applyBorder="1" applyAlignment="1">
      <alignment vertical="center" wrapText="1"/>
    </xf>
    <xf numFmtId="2" fontId="35" fillId="26" borderId="23" xfId="44" applyNumberFormat="1" applyFont="1" applyFill="1" applyBorder="1" applyAlignment="1">
      <alignment horizontal="justify" vertical="top" wrapText="1"/>
    </xf>
    <xf numFmtId="0" fontId="36" fillId="26" borderId="23" xfId="44" applyFont="1" applyFill="1" applyBorder="1" applyAlignment="1">
      <alignment horizontal="justify" vertical="top" wrapText="1"/>
    </xf>
    <xf numFmtId="9" fontId="35" fillId="26" borderId="10" xfId="44" applyNumberFormat="1" applyFont="1" applyFill="1" applyBorder="1" applyAlignment="1">
      <alignment horizontal="justify" vertical="top" wrapText="1"/>
    </xf>
    <xf numFmtId="0" fontId="36" fillId="0" borderId="16" xfId="44" applyFont="1" applyFill="1" applyBorder="1" applyAlignment="1">
      <alignment vertical="center" wrapText="1"/>
    </xf>
    <xf numFmtId="0" fontId="10" fillId="26" borderId="0" xfId="44" applyFont="1" applyFill="1" applyAlignment="1">
      <alignment vertical="center" wrapText="1"/>
    </xf>
    <xf numFmtId="0" fontId="35" fillId="26" borderId="23" xfId="44" applyFont="1" applyFill="1" applyBorder="1" applyAlignment="1">
      <alignment horizontal="justify" vertical="center" wrapText="1"/>
    </xf>
    <xf numFmtId="2" fontId="35" fillId="26" borderId="23" xfId="44" applyNumberFormat="1" applyFont="1" applyFill="1" applyBorder="1" applyAlignment="1">
      <alignment horizontal="justify" vertical="center" wrapText="1"/>
    </xf>
    <xf numFmtId="9" fontId="35" fillId="26" borderId="23" xfId="65" applyFont="1" applyFill="1" applyBorder="1" applyAlignment="1">
      <alignment horizontal="justify" vertical="top" wrapText="1"/>
    </xf>
    <xf numFmtId="0" fontId="10" fillId="26" borderId="10" xfId="42" applyNumberFormat="1" applyFont="1" applyFill="1" applyBorder="1" applyAlignment="1">
      <alignment horizontal="left" vertical="center" wrapText="1"/>
    </xf>
    <xf numFmtId="9" fontId="35" fillId="26" borderId="23" xfId="65" applyFont="1" applyFill="1" applyBorder="1" applyAlignment="1">
      <alignment horizontal="justify" vertical="center" wrapText="1"/>
    </xf>
    <xf numFmtId="49" fontId="57" fillId="26" borderId="11" xfId="54" applyNumberFormat="1" applyFont="1" applyFill="1" applyBorder="1" applyAlignment="1">
      <alignment horizontal="center" vertical="center" wrapText="1"/>
    </xf>
    <xf numFmtId="49" fontId="57" fillId="26" borderId="22" xfId="54" applyNumberFormat="1" applyFont="1" applyFill="1" applyBorder="1" applyAlignment="1">
      <alignment horizontal="center" vertical="center" wrapText="1"/>
    </xf>
    <xf numFmtId="49" fontId="57" fillId="26" borderId="20" xfId="54" applyNumberFormat="1" applyFont="1" applyFill="1" applyBorder="1" applyAlignment="1">
      <alignment horizontal="center" vertical="center" wrapText="1"/>
    </xf>
    <xf numFmtId="0" fontId="36" fillId="28" borderId="10" xfId="44" applyFont="1" applyFill="1" applyBorder="1" applyAlignment="1">
      <alignment vertical="top" wrapText="1"/>
    </xf>
    <xf numFmtId="2" fontId="36" fillId="28" borderId="10" xfId="44" applyNumberFormat="1" applyFont="1" applyFill="1" applyBorder="1" applyAlignment="1">
      <alignment horizontal="justify" vertical="top" wrapText="1"/>
    </xf>
    <xf numFmtId="0" fontId="36" fillId="0" borderId="10" xfId="44" applyFont="1" applyFill="1" applyBorder="1" applyAlignment="1">
      <alignment vertical="top" wrapText="1"/>
    </xf>
    <xf numFmtId="2" fontId="35" fillId="0" borderId="10" xfId="44" applyNumberFormat="1" applyFont="1" applyFill="1" applyBorder="1" applyAlignment="1">
      <alignment horizontal="justify" vertical="top" wrapText="1"/>
    </xf>
    <xf numFmtId="0" fontId="64" fillId="0" borderId="10" xfId="58" applyFont="1" applyFill="1" applyBorder="1" applyAlignment="1">
      <alignment horizontal="left" vertical="center" wrapText="1"/>
    </xf>
    <xf numFmtId="2" fontId="10" fillId="0" borderId="10" xfId="44" applyNumberFormat="1" applyFont="1" applyFill="1" applyBorder="1" applyAlignment="1">
      <alignment horizontal="center" vertical="center" wrapText="1"/>
    </xf>
    <xf numFmtId="1" fontId="10" fillId="0" borderId="10" xfId="44" applyNumberFormat="1" applyFont="1" applyFill="1" applyBorder="1" applyAlignment="1">
      <alignment horizontal="center" vertical="center" wrapText="1"/>
    </xf>
    <xf numFmtId="0" fontId="6" fillId="0" borderId="10" xfId="50" applyFont="1" applyFill="1" applyBorder="1" applyAlignment="1">
      <alignment horizontal="left" vertical="center" wrapText="1"/>
    </xf>
    <xf numFmtId="0" fontId="34" fillId="0" borderId="10" xfId="50" applyFont="1" applyFill="1" applyBorder="1" applyAlignment="1">
      <alignment horizontal="left" vertical="center" wrapText="1"/>
    </xf>
    <xf numFmtId="0" fontId="6" fillId="0" borderId="12" xfId="50" applyFont="1" applyFill="1" applyBorder="1" applyAlignment="1">
      <alignment horizontal="left" vertical="center" wrapText="1"/>
    </xf>
    <xf numFmtId="0" fontId="35" fillId="0" borderId="10" xfId="44" applyFont="1" applyFill="1" applyBorder="1" applyAlignment="1">
      <alignment horizontal="justify"/>
    </xf>
    <xf numFmtId="0" fontId="10" fillId="0" borderId="14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 textRotation="90" wrapText="1"/>
    </xf>
    <xf numFmtId="2" fontId="35" fillId="0" borderId="10" xfId="44" applyNumberFormat="1" applyFont="1" applyFill="1" applyBorder="1" applyAlignment="1">
      <alignment horizontal="justify"/>
    </xf>
    <xf numFmtId="0" fontId="6" fillId="0" borderId="0" xfId="58" applyFont="1" applyAlignment="1">
      <alignment horizontal="center" vertical="center"/>
    </xf>
    <xf numFmtId="0" fontId="45" fillId="0" borderId="0" xfId="58" applyFont="1" applyFill="1" applyAlignment="1">
      <alignment horizontal="center" vertical="center" wrapText="1"/>
    </xf>
    <xf numFmtId="0" fontId="45" fillId="0" borderId="0" xfId="58" applyFont="1" applyFill="1" applyAlignment="1">
      <alignment horizontal="center" vertical="center"/>
    </xf>
    <xf numFmtId="49" fontId="6" fillId="0" borderId="11" xfId="58" applyNumberFormat="1" applyFont="1" applyFill="1" applyBorder="1" applyAlignment="1">
      <alignment horizontal="center" vertical="center"/>
    </xf>
    <xf numFmtId="49" fontId="6" fillId="0" borderId="22" xfId="58" applyNumberFormat="1" applyFont="1" applyFill="1" applyBorder="1" applyAlignment="1">
      <alignment horizontal="center" vertical="center"/>
    </xf>
    <xf numFmtId="49" fontId="6" fillId="0" borderId="20" xfId="58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7" fillId="0" borderId="0" xfId="58" applyFont="1" applyAlignment="1">
      <alignment horizontal="center" vertical="center" wrapText="1"/>
    </xf>
    <xf numFmtId="0" fontId="7" fillId="0" borderId="0" xfId="58" applyFont="1" applyAlignment="1">
      <alignment horizontal="center" vertical="center"/>
    </xf>
    <xf numFmtId="0" fontId="4" fillId="0" borderId="0" xfId="58" applyFont="1" applyAlignment="1">
      <alignment horizontal="center" vertical="center"/>
    </xf>
    <xf numFmtId="0" fontId="45" fillId="0" borderId="0" xfId="58" applyFont="1" applyAlignment="1">
      <alignment horizontal="center" vertical="center"/>
    </xf>
    <xf numFmtId="0" fontId="34" fillId="0" borderId="10" xfId="58" applyFont="1" applyBorder="1" applyAlignment="1">
      <alignment horizontal="center" vertical="center" wrapText="1"/>
    </xf>
    <xf numFmtId="0" fontId="34" fillId="0" borderId="14" xfId="58" applyFont="1" applyBorder="1" applyAlignment="1">
      <alignment horizontal="center" vertical="center" wrapText="1"/>
    </xf>
    <xf numFmtId="0" fontId="34" fillId="0" borderId="12" xfId="58" applyFont="1" applyBorder="1" applyAlignment="1">
      <alignment horizontal="center" vertical="center" wrapText="1"/>
    </xf>
    <xf numFmtId="0" fontId="6" fillId="0" borderId="27" xfId="58" applyFont="1" applyBorder="1" applyAlignment="1">
      <alignment vertical="center"/>
    </xf>
    <xf numFmtId="0" fontId="4" fillId="0" borderId="10" xfId="58" applyFont="1" applyBorder="1" applyAlignment="1">
      <alignment horizontal="center" vertical="center" wrapText="1"/>
    </xf>
    <xf numFmtId="0" fontId="3" fillId="0" borderId="0" xfId="58" applyFont="1" applyFill="1" applyAlignment="1">
      <alignment horizontal="center" vertical="center"/>
    </xf>
    <xf numFmtId="0" fontId="3" fillId="0" borderId="0" xfId="58" applyFont="1" applyFill="1" applyBorder="1" applyAlignment="1">
      <alignment horizontal="center" vertical="center"/>
    </xf>
    <xf numFmtId="0" fontId="10" fillId="0" borderId="27" xfId="42" applyFont="1" applyBorder="1" applyAlignment="1">
      <alignment horizontal="left" vertical="center"/>
    </xf>
    <xf numFmtId="0" fontId="37" fillId="0" borderId="14" xfId="42" applyFont="1" applyFill="1" applyBorder="1" applyAlignment="1">
      <alignment horizontal="center" vertical="center" wrapText="1"/>
    </xf>
    <xf numFmtId="0" fontId="37" fillId="0" borderId="12" xfId="42" applyFont="1" applyFill="1" applyBorder="1" applyAlignment="1">
      <alignment horizontal="center" vertical="center" wrapText="1"/>
    </xf>
    <xf numFmtId="0" fontId="3" fillId="0" borderId="0" xfId="58" applyFont="1" applyAlignment="1">
      <alignment horizontal="center" vertical="center"/>
    </xf>
    <xf numFmtId="0" fontId="37" fillId="0" borderId="28" xfId="42" applyFont="1" applyFill="1" applyBorder="1" applyAlignment="1">
      <alignment horizontal="center" vertical="center" wrapText="1"/>
    </xf>
    <xf numFmtId="0" fontId="37" fillId="0" borderId="29" xfId="42" applyFont="1" applyFill="1" applyBorder="1" applyAlignment="1">
      <alignment horizontal="center" vertical="center" wrapText="1"/>
    </xf>
    <xf numFmtId="0" fontId="37" fillId="0" borderId="30" xfId="42" applyFont="1" applyFill="1" applyBorder="1" applyAlignment="1">
      <alignment horizontal="center" vertical="center" wrapText="1"/>
    </xf>
    <xf numFmtId="0" fontId="37" fillId="0" borderId="31" xfId="42" applyFont="1" applyFill="1" applyBorder="1" applyAlignment="1">
      <alignment horizontal="center" vertical="center" wrapText="1"/>
    </xf>
    <xf numFmtId="0" fontId="45" fillId="0" borderId="0" xfId="58" applyFont="1" applyAlignment="1">
      <alignment horizontal="center" vertical="center" wrapText="1"/>
    </xf>
    <xf numFmtId="0" fontId="37" fillId="0" borderId="11" xfId="42" applyFont="1" applyBorder="1" applyAlignment="1">
      <alignment horizontal="center" vertical="center" wrapText="1"/>
    </xf>
    <xf numFmtId="0" fontId="37" fillId="0" borderId="20" xfId="42" applyFont="1" applyBorder="1" applyAlignment="1">
      <alignment horizontal="center" vertical="center" wrapText="1"/>
    </xf>
    <xf numFmtId="0" fontId="37" fillId="0" borderId="22" xfId="42" applyFont="1" applyBorder="1" applyAlignment="1">
      <alignment horizontal="center" vertical="center" wrapText="1"/>
    </xf>
    <xf numFmtId="0" fontId="37" fillId="0" borderId="14" xfId="42" applyFont="1" applyBorder="1" applyAlignment="1">
      <alignment horizontal="center" vertical="center"/>
    </xf>
    <xf numFmtId="0" fontId="37" fillId="0" borderId="13" xfId="42" applyFont="1" applyBorder="1" applyAlignment="1">
      <alignment horizontal="center" vertical="center"/>
    </xf>
    <xf numFmtId="0" fontId="37" fillId="0" borderId="12" xfId="42" applyFont="1" applyBorder="1" applyAlignment="1">
      <alignment horizontal="center" vertical="center"/>
    </xf>
    <xf numFmtId="0" fontId="37" fillId="0" borderId="13" xfId="42" applyFont="1" applyFill="1" applyBorder="1" applyAlignment="1">
      <alignment horizontal="center" vertical="center" wrapText="1"/>
    </xf>
    <xf numFmtId="0" fontId="37" fillId="0" borderId="14" xfId="42" applyFont="1" applyBorder="1" applyAlignment="1">
      <alignment horizontal="center" vertical="center" wrapText="1"/>
    </xf>
    <xf numFmtId="0" fontId="37" fillId="0" borderId="12" xfId="42" applyFont="1" applyBorder="1" applyAlignment="1">
      <alignment horizontal="center" vertical="center" wrapText="1"/>
    </xf>
    <xf numFmtId="0" fontId="37" fillId="0" borderId="28" xfId="42" applyFont="1" applyBorder="1" applyAlignment="1">
      <alignment horizontal="center" vertical="center" wrapText="1"/>
    </xf>
    <xf numFmtId="0" fontId="37" fillId="0" borderId="29" xfId="42" applyFont="1" applyBorder="1" applyAlignment="1">
      <alignment horizontal="center" vertical="center" wrapText="1"/>
    </xf>
    <xf numFmtId="0" fontId="37" fillId="0" borderId="30" xfId="42" applyFont="1" applyBorder="1" applyAlignment="1">
      <alignment horizontal="center" vertical="center" wrapText="1"/>
    </xf>
    <xf numFmtId="0" fontId="37" fillId="0" borderId="31" xfId="42" applyFont="1" applyBorder="1" applyAlignment="1">
      <alignment horizontal="center" vertical="center" wrapText="1"/>
    </xf>
    <xf numFmtId="0" fontId="37" fillId="0" borderId="13" xfId="42" applyFont="1" applyBorder="1" applyAlignment="1">
      <alignment horizontal="center" vertical="center" wrapText="1"/>
    </xf>
    <xf numFmtId="0" fontId="56" fillId="0" borderId="0" xfId="58" applyFont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49" fillId="0" borderId="0" xfId="55" applyFont="1" applyFill="1" applyAlignment="1">
      <alignment horizontal="center"/>
    </xf>
    <xf numFmtId="0" fontId="49" fillId="0" borderId="0" xfId="55" applyFont="1" applyAlignment="1">
      <alignment horizontal="center"/>
    </xf>
    <xf numFmtId="0" fontId="48" fillId="0" borderId="0" xfId="55" applyFont="1" applyFill="1" applyAlignment="1">
      <alignment horizontal="center"/>
    </xf>
    <xf numFmtId="0" fontId="34" fillId="0" borderId="11" xfId="58" applyFont="1" applyBorder="1" applyAlignment="1">
      <alignment horizontal="center" vertical="center" wrapText="1"/>
    </xf>
    <xf numFmtId="0" fontId="34" fillId="0" borderId="22" xfId="58" applyFont="1" applyBorder="1" applyAlignment="1">
      <alignment horizontal="center" vertical="center" wrapText="1"/>
    </xf>
    <xf numFmtId="0" fontId="34" fillId="0" borderId="20" xfId="58" applyFont="1" applyBorder="1" applyAlignment="1">
      <alignment horizontal="center" vertical="center" wrapText="1"/>
    </xf>
    <xf numFmtId="0" fontId="4" fillId="0" borderId="27" xfId="58" applyFont="1" applyBorder="1" applyAlignment="1">
      <alignment horizontal="center" vertical="center" wrapText="1"/>
    </xf>
    <xf numFmtId="0" fontId="6" fillId="0" borderId="0" xfId="58" applyFont="1" applyFill="1" applyAlignment="1">
      <alignment horizontal="center" vertical="center"/>
    </xf>
    <xf numFmtId="0" fontId="4" fillId="0" borderId="0" xfId="58" applyFont="1" applyFill="1" applyAlignment="1">
      <alignment horizontal="center" vertical="center"/>
    </xf>
    <xf numFmtId="0" fontId="34" fillId="25" borderId="32" xfId="44" applyFont="1" applyFill="1" applyBorder="1" applyAlignment="1">
      <alignment horizontal="center" vertical="center" wrapText="1"/>
    </xf>
    <xf numFmtId="0" fontId="34" fillId="25" borderId="10" xfId="44" applyFont="1" applyFill="1" applyBorder="1" applyAlignment="1">
      <alignment horizontal="center" vertical="center" wrapText="1"/>
    </xf>
    <xf numFmtId="0" fontId="34" fillId="25" borderId="33" xfId="44" applyFont="1" applyFill="1" applyBorder="1" applyAlignment="1">
      <alignment horizontal="center" vertical="center" wrapText="1"/>
    </xf>
    <xf numFmtId="0" fontId="7" fillId="0" borderId="0" xfId="58" applyFont="1" applyFill="1" applyAlignment="1">
      <alignment horizontal="center" vertical="center"/>
    </xf>
    <xf numFmtId="0" fontId="34" fillId="25" borderId="34" xfId="44" applyFont="1" applyFill="1" applyBorder="1" applyAlignment="1">
      <alignment horizontal="center" vertical="center" wrapText="1"/>
    </xf>
    <xf numFmtId="0" fontId="34" fillId="25" borderId="35" xfId="44" applyFont="1" applyFill="1" applyBorder="1" applyAlignment="1">
      <alignment horizontal="center" vertical="center" wrapText="1"/>
    </xf>
    <xf numFmtId="0" fontId="34" fillId="25" borderId="36" xfId="44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2" xfId="44" applyFont="1" applyFill="1" applyBorder="1" applyAlignment="1">
      <alignment horizontal="center" vertical="center" wrapText="1"/>
    </xf>
    <xf numFmtId="0" fontId="37" fillId="0" borderId="10" xfId="44" applyNumberFormat="1" applyFont="1" applyFill="1" applyBorder="1" applyAlignment="1">
      <alignment horizontal="center" vertical="center" wrapText="1"/>
    </xf>
    <xf numFmtId="0" fontId="37" fillId="0" borderId="14" xfId="44" applyNumberFormat="1" applyFont="1" applyFill="1" applyBorder="1" applyAlignment="1">
      <alignment horizontal="center" vertical="center" wrapText="1"/>
    </xf>
    <xf numFmtId="0" fontId="37" fillId="0" borderId="13" xfId="44" applyNumberFormat="1" applyFont="1" applyFill="1" applyBorder="1" applyAlignment="1">
      <alignment horizontal="center" vertical="center" wrapText="1"/>
    </xf>
    <xf numFmtId="0" fontId="37" fillId="0" borderId="12" xfId="44" applyNumberFormat="1" applyFont="1" applyFill="1" applyBorder="1" applyAlignment="1">
      <alignment horizontal="center" vertical="center" wrapText="1"/>
    </xf>
    <xf numFmtId="0" fontId="37" fillId="0" borderId="10" xfId="44" applyFont="1" applyFill="1" applyBorder="1" applyAlignment="1">
      <alignment horizontal="center" vertical="center"/>
    </xf>
    <xf numFmtId="0" fontId="37" fillId="0" borderId="0" xfId="44" applyFont="1" applyFill="1" applyAlignment="1">
      <alignment horizontal="center" vertical="top" wrapText="1"/>
    </xf>
    <xf numFmtId="0" fontId="37" fillId="0" borderId="10" xfId="44" applyFont="1" applyFill="1" applyBorder="1" applyAlignment="1">
      <alignment horizontal="center" vertical="center" wrapText="1"/>
    </xf>
    <xf numFmtId="0" fontId="37" fillId="0" borderId="30" xfId="44" applyFont="1" applyFill="1" applyBorder="1" applyAlignment="1">
      <alignment horizontal="center" vertical="center" wrapText="1"/>
    </xf>
    <xf numFmtId="0" fontId="37" fillId="0" borderId="31" xfId="44" applyFont="1" applyFill="1" applyBorder="1" applyAlignment="1">
      <alignment horizontal="center" vertical="center" wrapText="1"/>
    </xf>
    <xf numFmtId="0" fontId="10" fillId="0" borderId="0" xfId="44" applyFont="1" applyFill="1" applyBorder="1" applyAlignment="1">
      <alignment horizontal="left" wrapText="1"/>
    </xf>
    <xf numFmtId="0" fontId="10" fillId="0" borderId="0" xfId="44" applyFont="1" applyFill="1" applyBorder="1" applyAlignment="1">
      <alignment horizontal="left"/>
    </xf>
    <xf numFmtId="0" fontId="10" fillId="0" borderId="10" xfId="44" applyFont="1" applyFill="1" applyBorder="1" applyAlignment="1">
      <alignment horizontal="center" vertical="center"/>
    </xf>
    <xf numFmtId="0" fontId="37" fillId="0" borderId="0" xfId="44" applyFont="1" applyFill="1" applyAlignment="1">
      <alignment horizontal="center"/>
    </xf>
    <xf numFmtId="0" fontId="10" fillId="0" borderId="0" xfId="44" applyFont="1" applyFill="1" applyAlignment="1">
      <alignment horizontal="center"/>
    </xf>
    <xf numFmtId="0" fontId="10" fillId="0" borderId="10" xfId="44" applyFont="1" applyFill="1" applyBorder="1" applyAlignment="1">
      <alignment horizontal="center" vertical="center" wrapText="1"/>
    </xf>
    <xf numFmtId="0" fontId="10" fillId="0" borderId="14" xfId="44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center" vertical="center" wrapText="1"/>
    </xf>
    <xf numFmtId="0" fontId="10" fillId="0" borderId="12" xfId="44" applyFont="1" applyFill="1" applyBorder="1" applyAlignment="1">
      <alignment horizontal="center" vertical="center" wrapText="1"/>
    </xf>
    <xf numFmtId="0" fontId="37" fillId="0" borderId="14" xfId="44" applyFont="1" applyFill="1" applyBorder="1" applyAlignment="1">
      <alignment horizontal="center" vertical="center" wrapText="1"/>
    </xf>
    <xf numFmtId="0" fontId="37" fillId="0" borderId="13" xfId="44" applyFont="1" applyFill="1" applyBorder="1" applyAlignment="1">
      <alignment horizontal="center" vertical="center" wrapText="1"/>
    </xf>
    <xf numFmtId="0" fontId="10" fillId="0" borderId="10" xfId="61" applyFont="1" applyFill="1" applyBorder="1" applyAlignment="1">
      <alignment horizontal="center" vertical="center"/>
    </xf>
    <xf numFmtId="0" fontId="10" fillId="0" borderId="0" xfId="44" applyFont="1" applyFill="1" applyAlignment="1">
      <alignment horizontal="left" vertical="center" wrapText="1"/>
    </xf>
    <xf numFmtId="0" fontId="10" fillId="0" borderId="0" xfId="44" applyFont="1" applyFill="1" applyAlignment="1">
      <alignment horizontal="left" wrapText="1"/>
    </xf>
    <xf numFmtId="0" fontId="34" fillId="0" borderId="10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/>
    </xf>
    <xf numFmtId="0" fontId="34" fillId="0" borderId="12" xfId="54" applyFont="1" applyFill="1" applyBorder="1" applyAlignment="1">
      <alignment horizontal="center" vertical="center"/>
    </xf>
    <xf numFmtId="49" fontId="57" fillId="26" borderId="11" xfId="54" applyNumberFormat="1" applyFont="1" applyFill="1" applyBorder="1" applyAlignment="1">
      <alignment horizontal="center" vertical="center" wrapText="1"/>
    </xf>
    <xf numFmtId="49" fontId="57" fillId="26" borderId="22" xfId="54" applyNumberFormat="1" applyFont="1" applyFill="1" applyBorder="1" applyAlignment="1">
      <alignment horizontal="center" vertical="center" wrapText="1"/>
    </xf>
    <xf numFmtId="49" fontId="57" fillId="26" borderId="20" xfId="54" applyNumberFormat="1" applyFont="1" applyFill="1" applyBorder="1" applyAlignment="1">
      <alignment horizontal="center" vertical="center" wrapText="1"/>
    </xf>
    <xf numFmtId="0" fontId="45" fillId="25" borderId="0" xfId="58" applyFont="1" applyFill="1" applyAlignment="1">
      <alignment horizontal="center" vertical="center"/>
    </xf>
    <xf numFmtId="0" fontId="49" fillId="25" borderId="0" xfId="54" applyFont="1" applyFill="1" applyAlignment="1">
      <alignment horizontal="center"/>
    </xf>
    <xf numFmtId="0" fontId="34" fillId="0" borderId="14" xfId="50" applyFont="1" applyFill="1" applyBorder="1" applyAlignment="1">
      <alignment horizontal="center" vertical="center" textRotation="90" wrapText="1"/>
    </xf>
    <xf numFmtId="0" fontId="34" fillId="0" borderId="12" xfId="50" applyFont="1" applyFill="1" applyBorder="1" applyAlignment="1">
      <alignment horizontal="center" vertical="center" textRotation="90" wrapText="1"/>
    </xf>
    <xf numFmtId="0" fontId="37" fillId="0" borderId="14" xfId="44" applyFont="1" applyFill="1" applyBorder="1" applyAlignment="1">
      <alignment horizontal="center" vertical="center" textRotation="90" wrapText="1"/>
    </xf>
    <xf numFmtId="0" fontId="37" fillId="0" borderId="12" xfId="44" applyFont="1" applyFill="1" applyBorder="1" applyAlignment="1">
      <alignment horizontal="center" vertical="center" textRotation="90" wrapText="1"/>
    </xf>
    <xf numFmtId="0" fontId="48" fillId="25" borderId="27" xfId="54" applyFont="1" applyFill="1" applyBorder="1" applyAlignment="1">
      <alignment horizontal="center"/>
    </xf>
    <xf numFmtId="0" fontId="34" fillId="0" borderId="14" xfId="54" applyFont="1" applyFill="1" applyBorder="1" applyAlignment="1">
      <alignment horizontal="center" vertical="center" wrapText="1"/>
    </xf>
    <xf numFmtId="0" fontId="34" fillId="0" borderId="13" xfId="54" applyFont="1" applyFill="1" applyBorder="1" applyAlignment="1">
      <alignment horizontal="center" vertical="center" wrapText="1"/>
    </xf>
    <xf numFmtId="0" fontId="34" fillId="0" borderId="12" xfId="54" applyFont="1" applyFill="1" applyBorder="1" applyAlignment="1">
      <alignment horizontal="center" vertical="center" wrapText="1"/>
    </xf>
    <xf numFmtId="0" fontId="34" fillId="0" borderId="28" xfId="54" applyFont="1" applyFill="1" applyBorder="1" applyAlignment="1">
      <alignment horizontal="center" vertical="center" wrapText="1"/>
    </xf>
    <xf numFmtId="0" fontId="34" fillId="0" borderId="37" xfId="54" applyFont="1" applyFill="1" applyBorder="1" applyAlignment="1">
      <alignment horizontal="center" vertical="center" wrapText="1"/>
    </xf>
    <xf numFmtId="0" fontId="34" fillId="0" borderId="30" xfId="54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 textRotation="90" wrapText="1"/>
    </xf>
    <xf numFmtId="0" fontId="6" fillId="25" borderId="0" xfId="58" applyFont="1" applyFill="1" applyAlignment="1">
      <alignment horizontal="center" vertical="center"/>
    </xf>
    <xf numFmtId="0" fontId="37" fillId="25" borderId="0" xfId="0" applyFont="1" applyFill="1" applyAlignment="1">
      <alignment horizontal="center" vertical="center"/>
    </xf>
    <xf numFmtId="0" fontId="4" fillId="25" borderId="0" xfId="58" applyFont="1" applyFill="1" applyAlignment="1">
      <alignment horizontal="center" vertical="center"/>
    </xf>
    <xf numFmtId="0" fontId="3" fillId="25" borderId="0" xfId="58" applyFont="1" applyFill="1" applyBorder="1" applyAlignment="1">
      <alignment horizontal="center" vertical="center"/>
    </xf>
    <xf numFmtId="0" fontId="49" fillId="26" borderId="11" xfId="54" applyFont="1" applyFill="1" applyBorder="1" applyAlignment="1">
      <alignment horizontal="center" vertical="center" wrapText="1"/>
    </xf>
    <xf numFmtId="0" fontId="49" fillId="26" borderId="22" xfId="54" applyFont="1" applyFill="1" applyBorder="1" applyAlignment="1">
      <alignment horizontal="center" vertical="center" wrapText="1"/>
    </xf>
    <xf numFmtId="0" fontId="49" fillId="26" borderId="20" xfId="54" applyFont="1" applyFill="1" applyBorder="1" applyAlignment="1">
      <alignment horizontal="center" vertical="center" wrapText="1"/>
    </xf>
    <xf numFmtId="0" fontId="37" fillId="0" borderId="10" xfId="54" applyFont="1" applyFill="1" applyBorder="1" applyAlignment="1" applyProtection="1">
      <alignment horizontal="center" vertical="center" textRotation="90" wrapText="1"/>
    </xf>
    <xf numFmtId="0" fontId="34" fillId="0" borderId="11" xfId="54" applyFont="1" applyFill="1" applyBorder="1" applyAlignment="1">
      <alignment horizontal="center" vertical="center" wrapText="1"/>
    </xf>
    <xf numFmtId="0" fontId="34" fillId="0" borderId="22" xfId="54" applyFont="1" applyFill="1" applyBorder="1" applyAlignment="1">
      <alignment horizontal="center" vertical="center" wrapText="1"/>
    </xf>
    <xf numFmtId="0" fontId="34" fillId="0" borderId="20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textRotation="90" wrapText="1"/>
    </xf>
    <xf numFmtId="0" fontId="34" fillId="0" borderId="12" xfId="54" applyFont="1" applyFill="1" applyBorder="1" applyAlignment="1">
      <alignment horizontal="center" vertical="center" textRotation="90" wrapText="1"/>
    </xf>
    <xf numFmtId="0" fontId="58" fillId="0" borderId="10" xfId="54" applyFont="1" applyFill="1" applyBorder="1" applyAlignment="1">
      <alignment horizontal="center" vertical="center" wrapText="1"/>
    </xf>
    <xf numFmtId="0" fontId="48" fillId="0" borderId="10" xfId="54" applyFont="1" applyFill="1" applyBorder="1" applyAlignment="1">
      <alignment horizontal="center" vertical="center" wrapText="1"/>
    </xf>
    <xf numFmtId="0" fontId="37" fillId="0" borderId="14" xfId="54" applyFont="1" applyFill="1" applyBorder="1" applyAlignment="1" applyProtection="1">
      <alignment horizontal="center" vertical="center" wrapText="1"/>
    </xf>
    <xf numFmtId="0" fontId="37" fillId="0" borderId="12" xfId="54" applyFont="1" applyFill="1" applyBorder="1" applyAlignment="1" applyProtection="1">
      <alignment horizontal="center" vertical="center" wrapText="1"/>
    </xf>
    <xf numFmtId="0" fontId="42" fillId="0" borderId="0" xfId="44" applyFont="1" applyFill="1" applyAlignment="1">
      <alignment horizontal="center"/>
    </xf>
    <xf numFmtId="0" fontId="35" fillId="0" borderId="15" xfId="44" applyFont="1" applyFill="1" applyBorder="1" applyAlignment="1">
      <alignment horizontal="left" vertical="center" wrapText="1"/>
    </xf>
    <xf numFmtId="0" fontId="35" fillId="0" borderId="16" xfId="44" applyFont="1" applyFill="1" applyBorder="1" applyAlignment="1">
      <alignment horizontal="left" vertical="center" wrapText="1"/>
    </xf>
    <xf numFmtId="0" fontId="35" fillId="0" borderId="17" xfId="44" applyFont="1" applyFill="1" applyBorder="1" applyAlignment="1">
      <alignment horizontal="left" vertical="center" wrapText="1"/>
    </xf>
    <xf numFmtId="0" fontId="36" fillId="0" borderId="0" xfId="44" applyFont="1" applyFill="1" applyAlignment="1">
      <alignment horizontal="center" wrapText="1"/>
    </xf>
    <xf numFmtId="0" fontId="36" fillId="0" borderId="0" xfId="44" applyFont="1" applyFill="1" applyAlignment="1">
      <alignment horizontal="center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29" builtinId="8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" xfId="38"/>
    <cellStyle name="Обычный 12 2" xfId="39"/>
    <cellStyle name="Обычный 18" xfId="40"/>
    <cellStyle name="Обычный 2" xfId="41"/>
    <cellStyle name="Обычный 2 2" xfId="42"/>
    <cellStyle name="Обычный 2_Xl0000845" xfId="43"/>
    <cellStyle name="Обычный 3" xfId="44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6 2 3_Паспорт инвестроекта для Оли замечания" xfId="55"/>
    <cellStyle name="Обычный 6 2_Xl0000845" xfId="56"/>
    <cellStyle name="Обычный 6_Xl0000845" xfId="57"/>
    <cellStyle name="Обычный 7" xfId="58"/>
    <cellStyle name="Обычный 7 2" xfId="59"/>
    <cellStyle name="Обычный 8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2031.6875938646697</v>
          </cell>
          <cell r="H8">
            <v>1308.3391404359995</v>
          </cell>
          <cell r="J8">
            <v>2157.1722855386706</v>
          </cell>
          <cell r="K8">
            <v>1304.8822426666704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581.53378923000002</v>
          </cell>
          <cell r="BH8">
            <v>0</v>
          </cell>
          <cell r="BI8">
            <v>0</v>
          </cell>
          <cell r="BJ8">
            <v>101.84024169333334</v>
          </cell>
          <cell r="BK8">
            <v>172.42196239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1635.9637346099998</v>
          </cell>
          <cell r="DG8">
            <v>1562.1971539482565</v>
          </cell>
          <cell r="DH8">
            <v>955.62099039825671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 t="str">
            <v/>
          </cell>
          <cell r="EA8" t="str">
            <v/>
          </cell>
          <cell r="EB8" t="str">
            <v>1 2</v>
          </cell>
          <cell r="EC8">
            <v>870.93788626000003</v>
          </cell>
          <cell r="ED8">
            <v>346.03663713000003</v>
          </cell>
          <cell r="EE8">
            <v>488.22764986999994</v>
          </cell>
          <cell r="EF8">
            <v>24.389055679999998</v>
          </cell>
          <cell r="EG8">
            <v>12.284543580000001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104.98333589000001</v>
          </cell>
          <cell r="IZ8">
            <v>0</v>
          </cell>
          <cell r="JA8">
            <v>0</v>
          </cell>
          <cell r="JB8">
            <v>0</v>
          </cell>
          <cell r="JC8">
            <v>4.1915000000000004</v>
          </cell>
          <cell r="JD8">
            <v>4.1915000000000004</v>
          </cell>
          <cell r="JE8">
            <v>0</v>
          </cell>
          <cell r="JF8">
            <v>0</v>
          </cell>
          <cell r="JG8">
            <v>3</v>
          </cell>
          <cell r="JH8">
            <v>0</v>
          </cell>
          <cell r="JI8">
            <v>3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0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0</v>
          </cell>
          <cell r="LK8">
            <v>0</v>
          </cell>
          <cell r="LL8">
            <v>0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2031.6875938646697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1100.3291342882467</v>
          </cell>
          <cell r="H9">
            <v>627.00648662199933</v>
          </cell>
          <cell r="J9">
            <v>1549.0511503782473</v>
          </cell>
          <cell r="K9">
            <v>696.7611075062473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223.43845984000001</v>
          </cell>
          <cell r="BH9">
            <v>0</v>
          </cell>
          <cell r="BI9">
            <v>0</v>
          </cell>
          <cell r="BJ9">
            <v>0</v>
          </cell>
          <cell r="BK9">
            <v>172.42196239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944.35932034999996</v>
          </cell>
          <cell r="DG9">
            <v>1107.8324943481553</v>
          </cell>
          <cell r="DH9">
            <v>501.2563307981552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 t="str">
            <v/>
          </cell>
          <cell r="EA9" t="str">
            <v/>
          </cell>
          <cell r="EB9" t="str">
            <v>1 2</v>
          </cell>
          <cell r="EC9">
            <v>870.93788626000003</v>
          </cell>
          <cell r="ED9">
            <v>346.03663713000003</v>
          </cell>
          <cell r="EE9">
            <v>488.22764986999994</v>
          </cell>
          <cell r="EF9">
            <v>24.389055679999998</v>
          </cell>
          <cell r="EG9">
            <v>12.284543580000001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104.98333589000001</v>
          </cell>
          <cell r="IZ9">
            <v>0</v>
          </cell>
          <cell r="JA9">
            <v>0</v>
          </cell>
          <cell r="JB9">
            <v>0</v>
          </cell>
          <cell r="JC9">
            <v>4.1915000000000004</v>
          </cell>
          <cell r="JD9">
            <v>4.1915000000000004</v>
          </cell>
          <cell r="JE9">
            <v>0</v>
          </cell>
          <cell r="JF9">
            <v>0</v>
          </cell>
          <cell r="JG9">
            <v>3</v>
          </cell>
          <cell r="JH9">
            <v>0</v>
          </cell>
          <cell r="JI9">
            <v>3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0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0</v>
          </cell>
          <cell r="LK9">
            <v>0</v>
          </cell>
          <cell r="LL9">
            <v>0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2031.6875938646697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870.93788626000003</v>
          </cell>
          <cell r="ED10">
            <v>346.03663713000003</v>
          </cell>
          <cell r="EE10">
            <v>488.22764986999994</v>
          </cell>
          <cell r="EF10">
            <v>24.389055679999998</v>
          </cell>
          <cell r="EG10">
            <v>12.284543580000001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104.98333589000001</v>
          </cell>
          <cell r="IZ10">
            <v>0</v>
          </cell>
          <cell r="JA10">
            <v>0</v>
          </cell>
          <cell r="JB10">
            <v>0</v>
          </cell>
          <cell r="JC10">
            <v>4.1915000000000004</v>
          </cell>
          <cell r="JD10">
            <v>4.1915000000000004</v>
          </cell>
          <cell r="JE10">
            <v>0</v>
          </cell>
          <cell r="JF10">
            <v>0</v>
          </cell>
          <cell r="JG10">
            <v>3</v>
          </cell>
          <cell r="JH10">
            <v>0</v>
          </cell>
          <cell r="JI10">
            <v>3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0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0</v>
          </cell>
          <cell r="LK10">
            <v>0</v>
          </cell>
          <cell r="LL10">
            <v>0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2031.6875938646697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870.93788626000003</v>
          </cell>
          <cell r="ED11">
            <v>346.03663713000003</v>
          </cell>
          <cell r="EE11">
            <v>488.22764986999994</v>
          </cell>
          <cell r="EF11">
            <v>24.389055679999998</v>
          </cell>
          <cell r="EG11">
            <v>12.284543580000001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104.98333589000001</v>
          </cell>
          <cell r="IZ11">
            <v>0</v>
          </cell>
          <cell r="JA11">
            <v>0</v>
          </cell>
          <cell r="JB11">
            <v>0</v>
          </cell>
          <cell r="JC11">
            <v>4.1915000000000004</v>
          </cell>
          <cell r="JD11">
            <v>4.1915000000000004</v>
          </cell>
          <cell r="JE11">
            <v>0</v>
          </cell>
          <cell r="JF11">
            <v>0</v>
          </cell>
          <cell r="JG11">
            <v>3</v>
          </cell>
          <cell r="JH11">
            <v>0</v>
          </cell>
          <cell r="JI11">
            <v>3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0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0</v>
          </cell>
          <cell r="LK11">
            <v>0</v>
          </cell>
          <cell r="LL11">
            <v>0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2031.6875938646697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870.93788626000003</v>
          </cell>
          <cell r="ED12">
            <v>346.03663713000003</v>
          </cell>
          <cell r="EE12">
            <v>488.22764986999994</v>
          </cell>
          <cell r="EF12">
            <v>24.389055679999998</v>
          </cell>
          <cell r="EG12">
            <v>12.284543580000001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104.98333589000001</v>
          </cell>
          <cell r="IZ12">
            <v>0</v>
          </cell>
          <cell r="JA12">
            <v>0</v>
          </cell>
          <cell r="JB12">
            <v>0</v>
          </cell>
          <cell r="JC12">
            <v>4.1915000000000004</v>
          </cell>
          <cell r="JD12">
            <v>4.1915000000000004</v>
          </cell>
          <cell r="JE12">
            <v>0</v>
          </cell>
          <cell r="JF12">
            <v>0</v>
          </cell>
          <cell r="JG12">
            <v>3</v>
          </cell>
          <cell r="JH12">
            <v>0</v>
          </cell>
          <cell r="JI12">
            <v>3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2031.6875938646697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870.93788626000003</v>
          </cell>
          <cell r="ED13">
            <v>346.03663713000003</v>
          </cell>
          <cell r="EE13">
            <v>488.22764986999994</v>
          </cell>
          <cell r="EF13">
            <v>24.389055679999998</v>
          </cell>
          <cell r="EG13">
            <v>12.284543580000001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104.98333589000001</v>
          </cell>
          <cell r="IZ13">
            <v>0</v>
          </cell>
          <cell r="JA13">
            <v>0</v>
          </cell>
          <cell r="JB13">
            <v>0</v>
          </cell>
          <cell r="JC13">
            <v>4.1915000000000004</v>
          </cell>
          <cell r="JD13">
            <v>4.1915000000000004</v>
          </cell>
          <cell r="JE13">
            <v>0</v>
          </cell>
          <cell r="JF13">
            <v>0</v>
          </cell>
          <cell r="JG13">
            <v>3</v>
          </cell>
          <cell r="JH13">
            <v>0</v>
          </cell>
          <cell r="JI13">
            <v>3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2031.6875938646697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870.93788626000003</v>
          </cell>
          <cell r="ED16">
            <v>346.03663713000003</v>
          </cell>
          <cell r="EE16">
            <v>488.22764986999994</v>
          </cell>
          <cell r="EF16">
            <v>24.389055679999998</v>
          </cell>
          <cell r="EG16">
            <v>12.284543580000001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104.98333589000001</v>
          </cell>
          <cell r="IZ16">
            <v>0</v>
          </cell>
          <cell r="JA16">
            <v>0</v>
          </cell>
          <cell r="JB16">
            <v>0</v>
          </cell>
          <cell r="JC16">
            <v>4.1915000000000004</v>
          </cell>
          <cell r="JD16">
            <v>4.1915000000000004</v>
          </cell>
          <cell r="JE16">
            <v>0</v>
          </cell>
          <cell r="JF16">
            <v>0</v>
          </cell>
          <cell r="JG16">
            <v>3</v>
          </cell>
          <cell r="JH16">
            <v>0</v>
          </cell>
          <cell r="JI16">
            <v>3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2031.6875938646697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870.93788626000003</v>
          </cell>
          <cell r="ED17">
            <v>346.03663713000003</v>
          </cell>
          <cell r="EE17">
            <v>488.22764986999994</v>
          </cell>
          <cell r="EF17">
            <v>24.389055679999998</v>
          </cell>
          <cell r="EG17">
            <v>12.284543580000001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104.98333589000001</v>
          </cell>
          <cell r="IZ17">
            <v>0</v>
          </cell>
          <cell r="JA17">
            <v>0</v>
          </cell>
          <cell r="JB17">
            <v>0</v>
          </cell>
          <cell r="JC17">
            <v>4.1915000000000004</v>
          </cell>
          <cell r="JD17">
            <v>4.1915000000000004</v>
          </cell>
          <cell r="JE17">
            <v>0</v>
          </cell>
          <cell r="JF17">
            <v>0</v>
          </cell>
          <cell r="JG17">
            <v>3</v>
          </cell>
          <cell r="JH17">
            <v>0</v>
          </cell>
          <cell r="JI17">
            <v>3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2031.6875938646697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870.93788626000003</v>
          </cell>
          <cell r="ED18">
            <v>346.03663713000003</v>
          </cell>
          <cell r="EE18">
            <v>488.22764986999994</v>
          </cell>
          <cell r="EF18">
            <v>24.389055679999998</v>
          </cell>
          <cell r="EG18">
            <v>12.284543580000001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104.98333589000001</v>
          </cell>
          <cell r="IZ18">
            <v>0</v>
          </cell>
          <cell r="JA18">
            <v>0</v>
          </cell>
          <cell r="JB18">
            <v>0</v>
          </cell>
          <cell r="JC18">
            <v>4.1915000000000004</v>
          </cell>
          <cell r="JD18">
            <v>4.1915000000000004</v>
          </cell>
          <cell r="JE18">
            <v>0</v>
          </cell>
          <cell r="JF18">
            <v>0</v>
          </cell>
          <cell r="JG18">
            <v>3</v>
          </cell>
          <cell r="JH18">
            <v>0</v>
          </cell>
          <cell r="JI18">
            <v>3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0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0</v>
          </cell>
          <cell r="LK18">
            <v>0</v>
          </cell>
          <cell r="LL18">
            <v>0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2031.6875938646697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998.61497788260328</v>
          </cell>
          <cell r="H19">
            <v>613.23105891199998</v>
          </cell>
          <cell r="J19">
            <v>1461.1124216826033</v>
          </cell>
          <cell r="K19">
            <v>608.82237881060325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223.43845984000001</v>
          </cell>
          <cell r="BH19">
            <v>0</v>
          </cell>
          <cell r="BI19">
            <v>0</v>
          </cell>
          <cell r="BJ19">
            <v>0</v>
          </cell>
          <cell r="BK19">
            <v>172.42196239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930.40404635999994</v>
          </cell>
          <cell r="DG19">
            <v>1033.5169965515283</v>
          </cell>
          <cell r="DH19">
            <v>426.94083300152829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 t="str">
            <v/>
          </cell>
          <cell r="EA19" t="str">
            <v/>
          </cell>
          <cell r="EB19" t="str">
            <v>1 2</v>
          </cell>
          <cell r="EC19">
            <v>870.93788626000003</v>
          </cell>
          <cell r="ED19">
            <v>346.03663713000003</v>
          </cell>
          <cell r="EE19">
            <v>488.22764986999994</v>
          </cell>
          <cell r="EF19">
            <v>24.389055679999998</v>
          </cell>
          <cell r="EG19">
            <v>12.284543580000001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104.98333589000001</v>
          </cell>
          <cell r="IZ19">
            <v>0</v>
          </cell>
          <cell r="JA19">
            <v>0</v>
          </cell>
          <cell r="JB19">
            <v>0</v>
          </cell>
          <cell r="JC19">
            <v>4.1915000000000004</v>
          </cell>
          <cell r="JD19">
            <v>4.1915000000000004</v>
          </cell>
          <cell r="JE19">
            <v>0</v>
          </cell>
          <cell r="JF19">
            <v>0</v>
          </cell>
          <cell r="JG19">
            <v>3</v>
          </cell>
          <cell r="JH19">
            <v>0</v>
          </cell>
          <cell r="JI19">
            <v>3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2031.6875938646697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998.61497788260328</v>
          </cell>
          <cell r="H20">
            <v>613.23105891199998</v>
          </cell>
          <cell r="J20">
            <v>1461.1124216826033</v>
          </cell>
          <cell r="K20">
            <v>608.82237881060325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223.43845984000001</v>
          </cell>
          <cell r="BH20">
            <v>0</v>
          </cell>
          <cell r="BI20">
            <v>0</v>
          </cell>
          <cell r="BJ20">
            <v>0</v>
          </cell>
          <cell r="BK20">
            <v>172.42196239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930.40404635999994</v>
          </cell>
          <cell r="DG20">
            <v>1033.5169965515283</v>
          </cell>
          <cell r="DH20">
            <v>426.94083300152829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 t="str">
            <v/>
          </cell>
          <cell r="EA20" t="str">
            <v/>
          </cell>
          <cell r="EB20" t="str">
            <v>1 2</v>
          </cell>
          <cell r="EC20">
            <v>870.93788626000003</v>
          </cell>
          <cell r="ED20">
            <v>346.03663713000003</v>
          </cell>
          <cell r="EE20">
            <v>488.22764986999994</v>
          </cell>
          <cell r="EF20">
            <v>24.389055679999998</v>
          </cell>
          <cell r="EG20">
            <v>12.284543580000001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104.98333589000001</v>
          </cell>
          <cell r="IZ20">
            <v>0</v>
          </cell>
          <cell r="JA20">
            <v>0</v>
          </cell>
          <cell r="JB20">
            <v>0</v>
          </cell>
          <cell r="JC20">
            <v>4.1915000000000004</v>
          </cell>
          <cell r="JD20">
            <v>4.1915000000000004</v>
          </cell>
          <cell r="JE20">
            <v>0</v>
          </cell>
          <cell r="JF20">
            <v>0</v>
          </cell>
          <cell r="JG20">
            <v>3</v>
          </cell>
          <cell r="JH20">
            <v>0</v>
          </cell>
          <cell r="JI20">
            <v>3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2031.6875938646697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774.4869440526935</v>
          </cell>
          <cell r="H21">
            <v>367.05419385200003</v>
          </cell>
          <cell r="J21">
            <v>1432.1447554626934</v>
          </cell>
          <cell r="K21">
            <v>579.85471259069345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172.42196239</v>
          </cell>
          <cell r="BH21">
            <v>0</v>
          </cell>
          <cell r="BI21">
            <v>0</v>
          </cell>
          <cell r="BJ21">
            <v>0</v>
          </cell>
          <cell r="BK21">
            <v>172.42196239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702.05412581999997</v>
          </cell>
          <cell r="DG21">
            <v>1052.4217001412658</v>
          </cell>
          <cell r="DH21">
            <v>445.84553659126573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 t="str">
            <v/>
          </cell>
          <cell r="EA21" t="str">
            <v/>
          </cell>
          <cell r="EB21" t="str">
            <v>1 2</v>
          </cell>
          <cell r="EC21">
            <v>870.93788626000003</v>
          </cell>
          <cell r="ED21">
            <v>346.03663713000003</v>
          </cell>
          <cell r="EE21">
            <v>488.22764986999994</v>
          </cell>
          <cell r="EF21">
            <v>24.389055679999998</v>
          </cell>
          <cell r="EG21">
            <v>12.284543580000001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104.98333589000001</v>
          </cell>
          <cell r="IZ21">
            <v>0</v>
          </cell>
          <cell r="JA21">
            <v>0</v>
          </cell>
          <cell r="JB21">
            <v>0</v>
          </cell>
          <cell r="JC21">
            <v>4.1915000000000004</v>
          </cell>
          <cell r="JD21">
            <v>4.1915000000000004</v>
          </cell>
          <cell r="JE21">
            <v>0</v>
          </cell>
          <cell r="JF21">
            <v>0</v>
          </cell>
          <cell r="JG21">
            <v>3</v>
          </cell>
          <cell r="JH21">
            <v>0</v>
          </cell>
          <cell r="JI21">
            <v>3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2031.6875938646697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4.8988917999999995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2.34256894</v>
          </cell>
          <cell r="BH22">
            <v>0</v>
          </cell>
          <cell r="BI22">
            <v>0</v>
          </cell>
          <cell r="BJ22">
            <v>0</v>
          </cell>
          <cell r="BK22">
            <v>2.34256894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I_Che149</v>
          </cell>
          <cell r="B23" t="str">
            <v>1.1.3.1</v>
          </cell>
          <cell r="C23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3" t="str">
            <v>I_Che149</v>
          </cell>
          <cell r="E23">
            <v>59.628870252866726</v>
          </cell>
          <cell r="H23">
            <v>81.999148329999997</v>
          </cell>
          <cell r="J23">
            <v>59.628870252866726</v>
          </cell>
          <cell r="K23">
            <v>27.106583722866723</v>
          </cell>
          <cell r="L23">
            <v>32.522286530000002</v>
          </cell>
          <cell r="M23">
            <v>0</v>
          </cell>
          <cell r="N23">
            <v>0</v>
          </cell>
          <cell r="O23">
            <v>0</v>
          </cell>
          <cell r="P23">
            <v>27.2242712</v>
          </cell>
          <cell r="Q23">
            <v>5.2980153300000001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49.476861799999995</v>
          </cell>
          <cell r="BH23">
            <v>0</v>
          </cell>
          <cell r="BI23">
            <v>0</v>
          </cell>
          <cell r="BJ23">
            <v>0</v>
          </cell>
          <cell r="BK23">
            <v>49.476861799999995</v>
          </cell>
          <cell r="BL23">
            <v>0</v>
          </cell>
          <cell r="BM23">
            <v>29.423018119999998</v>
          </cell>
          <cell r="BN23">
            <v>0</v>
          </cell>
          <cell r="BO23">
            <v>0</v>
          </cell>
          <cell r="BP23">
            <v>0</v>
          </cell>
          <cell r="BQ23">
            <v>29.423018119999998</v>
          </cell>
          <cell r="BR23">
            <v>0</v>
          </cell>
          <cell r="BS23">
            <v>20.05384368</v>
          </cell>
          <cell r="BT23">
            <v>0</v>
          </cell>
          <cell r="BU23">
            <v>0</v>
          </cell>
          <cell r="BV23">
            <v>0</v>
          </cell>
          <cell r="BW23">
            <v>20.05384368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1</v>
          </cell>
          <cell r="CR23">
            <v>2</v>
          </cell>
          <cell r="CS23" t="str">
            <v/>
          </cell>
          <cell r="CT23" t="str">
            <v/>
          </cell>
          <cell r="CU23" t="str">
            <v>1 2</v>
          </cell>
          <cell r="CX23">
            <v>50.532940892259937</v>
          </cell>
          <cell r="CY23">
            <v>1.9814567513360286</v>
          </cell>
          <cell r="CZ23">
            <v>41.317594413824096</v>
          </cell>
          <cell r="DA23">
            <v>0</v>
          </cell>
          <cell r="DB23">
            <v>7.2338897270998119</v>
          </cell>
          <cell r="DE23">
            <v>70.163026860000002</v>
          </cell>
          <cell r="DG23">
            <v>50.532940892259937</v>
          </cell>
          <cell r="DH23">
            <v>-19.630085967740065</v>
          </cell>
          <cell r="DI23">
            <v>70.163026860000002</v>
          </cell>
          <cell r="DJ23">
            <v>4.4898435000000001</v>
          </cell>
          <cell r="DK23">
            <v>62.764169840000001</v>
          </cell>
          <cell r="DL23">
            <v>0</v>
          </cell>
          <cell r="DM23">
            <v>2.9090135199999998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50.532940892259937</v>
          </cell>
          <cell r="FO23">
            <v>0</v>
          </cell>
          <cell r="FP23">
            <v>0</v>
          </cell>
          <cell r="FQ23">
            <v>0</v>
          </cell>
          <cell r="FR23">
            <v>5.3</v>
          </cell>
          <cell r="FS23">
            <v>5.3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70.163026860000002</v>
          </cell>
          <cell r="GA23">
            <v>0</v>
          </cell>
          <cell r="GB23">
            <v>0</v>
          </cell>
          <cell r="GC23">
            <v>0</v>
          </cell>
          <cell r="GD23">
            <v>4.84</v>
          </cell>
          <cell r="GE23">
            <v>4.84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з</v>
          </cell>
          <cell r="OR23">
            <v>0</v>
          </cell>
          <cell r="OT23">
            <v>59.628870252866726</v>
          </cell>
        </row>
        <row r="24">
          <cell r="A24" t="str">
            <v>I_Che150</v>
          </cell>
          <cell r="B24" t="str">
            <v>1.1.3.1</v>
          </cell>
          <cell r="C24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4" t="str">
            <v>I_Che150</v>
          </cell>
          <cell r="E24">
            <v>59.628870252866726</v>
          </cell>
          <cell r="H24">
            <v>64.521247549999998</v>
          </cell>
          <cell r="J24">
            <v>59.628870252866726</v>
          </cell>
          <cell r="K24">
            <v>27.132896022866724</v>
          </cell>
          <cell r="L24">
            <v>32.495974230000002</v>
          </cell>
          <cell r="M24">
            <v>0</v>
          </cell>
          <cell r="N24">
            <v>0</v>
          </cell>
          <cell r="O24">
            <v>0</v>
          </cell>
          <cell r="P24">
            <v>27.175055099999998</v>
          </cell>
          <cell r="Q24">
            <v>5.3209191300000001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32.025273319999997</v>
          </cell>
          <cell r="BH24">
            <v>0</v>
          </cell>
          <cell r="BI24">
            <v>0</v>
          </cell>
          <cell r="BJ24">
            <v>0</v>
          </cell>
          <cell r="BK24">
            <v>32.025273319999997</v>
          </cell>
          <cell r="BL24">
            <v>0</v>
          </cell>
          <cell r="BM24">
            <v>29.079117</v>
          </cell>
          <cell r="BN24">
            <v>0</v>
          </cell>
          <cell r="BO24">
            <v>0</v>
          </cell>
          <cell r="BP24">
            <v>0</v>
          </cell>
          <cell r="BQ24">
            <v>29.079117</v>
          </cell>
          <cell r="BR24">
            <v>0</v>
          </cell>
          <cell r="BS24">
            <v>2.9461563200000001</v>
          </cell>
          <cell r="BT24">
            <v>0</v>
          </cell>
          <cell r="BU24">
            <v>0</v>
          </cell>
          <cell r="BV24">
            <v>0</v>
          </cell>
          <cell r="BW24">
            <v>2.9461563200000001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64.90114217</v>
          </cell>
          <cell r="DG24">
            <v>50.532940892259937</v>
          </cell>
          <cell r="DH24">
            <v>-14.368201277740063</v>
          </cell>
          <cell r="DI24">
            <v>64.90114217</v>
          </cell>
          <cell r="DJ24">
            <v>4.5092534999999998</v>
          </cell>
          <cell r="DK24">
            <v>57.879934140000003</v>
          </cell>
          <cell r="DL24">
            <v>0</v>
          </cell>
          <cell r="DM24">
            <v>2.5119545300000001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64.90114217</v>
          </cell>
          <cell r="GA24">
            <v>0</v>
          </cell>
          <cell r="GB24">
            <v>0</v>
          </cell>
          <cell r="GC24">
            <v>0</v>
          </cell>
          <cell r="GD24">
            <v>4.5</v>
          </cell>
          <cell r="GE24">
            <v>4.5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I_Che151</v>
          </cell>
          <cell r="B25" t="str">
            <v>1.1.3.1</v>
          </cell>
          <cell r="C25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I_Che151</v>
          </cell>
          <cell r="E25">
            <v>57.017072322850488</v>
          </cell>
          <cell r="H25">
            <v>58.794175920000001</v>
          </cell>
          <cell r="J25">
            <v>57.017072322850488</v>
          </cell>
          <cell r="K25">
            <v>30.880756362850491</v>
          </cell>
          <cell r="L25">
            <v>26.136315959999997</v>
          </cell>
          <cell r="M25">
            <v>0</v>
          </cell>
          <cell r="N25">
            <v>0</v>
          </cell>
          <cell r="O25">
            <v>0</v>
          </cell>
          <cell r="P25">
            <v>20.842078279999999</v>
          </cell>
          <cell r="Q25">
            <v>5.2942376800000002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32.657859960000003</v>
          </cell>
          <cell r="BH25">
            <v>0</v>
          </cell>
          <cell r="BI25">
            <v>0</v>
          </cell>
          <cell r="BJ25">
            <v>0</v>
          </cell>
          <cell r="BK25">
            <v>32.657859960000003</v>
          </cell>
          <cell r="BL25">
            <v>0</v>
          </cell>
          <cell r="BM25">
            <v>32.657859960000003</v>
          </cell>
          <cell r="BN25">
            <v>0</v>
          </cell>
          <cell r="BO25">
            <v>0</v>
          </cell>
          <cell r="BP25">
            <v>0</v>
          </cell>
          <cell r="BQ25">
            <v>32.657859960000003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</v>
          </cell>
          <cell r="CR25" t="str">
            <v/>
          </cell>
          <cell r="CS25" t="str">
            <v/>
          </cell>
          <cell r="CT25" t="str">
            <v/>
          </cell>
          <cell r="CU25" t="str">
            <v>1</v>
          </cell>
          <cell r="CX25">
            <v>48.319552815974994</v>
          </cell>
          <cell r="CY25">
            <v>1.8946671707249996</v>
          </cell>
          <cell r="CZ25">
            <v>39.507846767999993</v>
          </cell>
          <cell r="DA25">
            <v>0</v>
          </cell>
          <cell r="DB25">
            <v>6.9170388772500013</v>
          </cell>
          <cell r="DE25">
            <v>58.031423759999996</v>
          </cell>
          <cell r="DG25">
            <v>48.319552815974994</v>
          </cell>
          <cell r="DH25">
            <v>-9.7118709440250015</v>
          </cell>
          <cell r="DI25">
            <v>58.031423759999996</v>
          </cell>
          <cell r="DJ25">
            <v>4.4866420999999992</v>
          </cell>
          <cell r="DK25">
            <v>51.26332618</v>
          </cell>
          <cell r="DL25">
            <v>0</v>
          </cell>
          <cell r="DM25">
            <v>2.28145548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48.319552815974994</v>
          </cell>
          <cell r="FO25">
            <v>0</v>
          </cell>
          <cell r="FP25">
            <v>0</v>
          </cell>
          <cell r="FQ25">
            <v>0</v>
          </cell>
          <cell r="FR25">
            <v>4.5</v>
          </cell>
          <cell r="FS25">
            <v>4.5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58.031423759999996</v>
          </cell>
          <cell r="GA25">
            <v>0</v>
          </cell>
          <cell r="GB25">
            <v>0</v>
          </cell>
          <cell r="GC25">
            <v>0</v>
          </cell>
          <cell r="GD25">
            <v>3.3149999999999999</v>
          </cell>
          <cell r="GE25">
            <v>3.3149999999999999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57.017072322850488</v>
          </cell>
        </row>
        <row r="26">
          <cell r="A26" t="str">
            <v>I_Che152</v>
          </cell>
          <cell r="B26" t="str">
            <v>1.1.3.1</v>
          </cell>
          <cell r="C26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6" t="str">
            <v>I_Che152</v>
          </cell>
          <cell r="E26">
            <v>32.101498262255298</v>
          </cell>
          <cell r="H26">
            <v>29.797130832000001</v>
          </cell>
          <cell r="J26">
            <v>32.101498262255298</v>
          </cell>
          <cell r="K26">
            <v>5.4365093802552984</v>
          </cell>
          <cell r="L26">
            <v>26.664988881999999</v>
          </cell>
          <cell r="M26">
            <v>0</v>
          </cell>
          <cell r="N26">
            <v>0</v>
          </cell>
          <cell r="O26">
            <v>0</v>
          </cell>
          <cell r="P26">
            <v>22.36040865</v>
          </cell>
          <cell r="Q26">
            <v>4.3045802320000002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3.1321419500000003</v>
          </cell>
          <cell r="BH26">
            <v>0</v>
          </cell>
          <cell r="BI26">
            <v>0</v>
          </cell>
          <cell r="BJ26">
            <v>0</v>
          </cell>
          <cell r="BK26">
            <v>3.1321419500000003</v>
          </cell>
          <cell r="BL26">
            <v>0</v>
          </cell>
          <cell r="BM26">
            <v>0.83635194999999996</v>
          </cell>
          <cell r="BN26">
            <v>0</v>
          </cell>
          <cell r="BO26">
            <v>0</v>
          </cell>
          <cell r="BP26">
            <v>0</v>
          </cell>
          <cell r="BQ26">
            <v>0.83635194999999996</v>
          </cell>
          <cell r="BR26">
            <v>0</v>
          </cell>
          <cell r="BS26">
            <v>2.2957900000000002</v>
          </cell>
          <cell r="BT26">
            <v>0</v>
          </cell>
          <cell r="BU26">
            <v>0</v>
          </cell>
          <cell r="BV26">
            <v>0</v>
          </cell>
          <cell r="BW26">
            <v>2.2957900000000002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1</v>
          </cell>
          <cell r="CR26">
            <v>2</v>
          </cell>
          <cell r="CS26" t="str">
            <v/>
          </cell>
          <cell r="CT26" t="str">
            <v/>
          </cell>
          <cell r="CU26" t="str">
            <v>1 2</v>
          </cell>
          <cell r="CX26">
            <v>27.204659544284151</v>
          </cell>
          <cell r="CY26">
            <v>1.0667270768338888</v>
          </cell>
          <cell r="CZ26">
            <v>22.243532028215427</v>
          </cell>
          <cell r="DA26">
            <v>0</v>
          </cell>
          <cell r="DB26">
            <v>3.894400439234833</v>
          </cell>
          <cell r="DE26">
            <v>102.79228253999999</v>
          </cell>
          <cell r="DG26">
            <v>27.204659544284151</v>
          </cell>
          <cell r="DH26">
            <v>22.644722854284151</v>
          </cell>
          <cell r="DI26">
            <v>4.5599366900000007</v>
          </cell>
          <cell r="DJ26">
            <v>4.5599366900000007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</v>
          </cell>
          <cell r="DY26">
            <v>2</v>
          </cell>
          <cell r="DZ26" t="str">
            <v/>
          </cell>
          <cell r="EA26" t="str">
            <v/>
          </cell>
          <cell r="EB26" t="str">
            <v>1 2</v>
          </cell>
          <cell r="EC26">
            <v>98.232345849999987</v>
          </cell>
          <cell r="ED26">
            <v>0</v>
          </cell>
          <cell r="EE26">
            <v>94.090279620000004</v>
          </cell>
          <cell r="EF26">
            <v>0</v>
          </cell>
          <cell r="EG26">
            <v>4.1420662300000002</v>
          </cell>
          <cell r="EH26">
            <v>95.867375849999988</v>
          </cell>
          <cell r="EI26">
            <v>0</v>
          </cell>
          <cell r="EJ26">
            <v>94.090279620000004</v>
          </cell>
          <cell r="EK26">
            <v>0</v>
          </cell>
          <cell r="EL26">
            <v>1.7770962299999999</v>
          </cell>
          <cell r="EM26">
            <v>2.36497</v>
          </cell>
          <cell r="EN26">
            <v>0</v>
          </cell>
          <cell r="EO26">
            <v>0</v>
          </cell>
          <cell r="EP26">
            <v>0</v>
          </cell>
          <cell r="EQ26">
            <v>2.36497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27.204659544284151</v>
          </cell>
          <cell r="FO26">
            <v>0</v>
          </cell>
          <cell r="FP26">
            <v>0</v>
          </cell>
          <cell r="FQ26">
            <v>0</v>
          </cell>
          <cell r="FR26">
            <v>2</v>
          </cell>
          <cell r="FS26">
            <v>0</v>
          </cell>
          <cell r="FT26">
            <v>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102.79228254</v>
          </cell>
          <cell r="IZ26">
            <v>0</v>
          </cell>
          <cell r="JA26">
            <v>0</v>
          </cell>
          <cell r="JB26">
            <v>0</v>
          </cell>
          <cell r="JC26">
            <v>3.4590000000000001</v>
          </cell>
          <cell r="JD26">
            <v>3.4590000000000001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102.79228254</v>
          </cell>
          <cell r="JV26">
            <v>0</v>
          </cell>
          <cell r="JW26">
            <v>0</v>
          </cell>
          <cell r="JX26">
            <v>0</v>
          </cell>
          <cell r="JY26">
            <v>3.4590000000000001</v>
          </cell>
          <cell r="JZ26">
            <v>3.4590000000000001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2019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32.101498262255298</v>
          </cell>
        </row>
        <row r="27">
          <cell r="A27" t="str">
            <v>I_Che153</v>
          </cell>
          <cell r="B27" t="str">
            <v>1.1.3.1</v>
          </cell>
          <cell r="C27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7" t="str">
            <v>I_Che153</v>
          </cell>
          <cell r="E27">
            <v>561.23955774133265</v>
          </cell>
          <cell r="H27">
            <v>127.04359942000001</v>
          </cell>
          <cell r="J27">
            <v>561.23955774133265</v>
          </cell>
          <cell r="K27">
            <v>486.98321474133263</v>
          </cell>
          <cell r="L27">
            <v>74.256343000000001</v>
          </cell>
          <cell r="M27">
            <v>0</v>
          </cell>
          <cell r="N27">
            <v>0</v>
          </cell>
          <cell r="O27">
            <v>0</v>
          </cell>
          <cell r="P27">
            <v>74.256343000000001</v>
          </cell>
          <cell r="Q27">
            <v>0</v>
          </cell>
          <cell r="R27">
            <v>168.37186732239959</v>
          </cell>
          <cell r="S27">
            <v>0</v>
          </cell>
          <cell r="T27">
            <v>0</v>
          </cell>
          <cell r="U27">
            <v>0</v>
          </cell>
          <cell r="V27">
            <v>168.37186732239959</v>
          </cell>
          <cell r="W27">
            <v>0</v>
          </cell>
          <cell r="X27">
            <v>168.37186732239959</v>
          </cell>
          <cell r="Y27">
            <v>0</v>
          </cell>
          <cell r="Z27">
            <v>0</v>
          </cell>
          <cell r="AA27">
            <v>0</v>
          </cell>
          <cell r="AB27">
            <v>168.37186732239959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1</v>
          </cell>
          <cell r="BC27" t="str">
            <v/>
          </cell>
          <cell r="BD27" t="str">
            <v/>
          </cell>
          <cell r="BE27" t="str">
            <v/>
          </cell>
          <cell r="BF27" t="str">
            <v>1</v>
          </cell>
          <cell r="BG27">
            <v>52.787256420000006</v>
          </cell>
          <cell r="BH27">
            <v>0</v>
          </cell>
          <cell r="BI27">
            <v>0</v>
          </cell>
          <cell r="BJ27">
            <v>0</v>
          </cell>
          <cell r="BK27">
            <v>52.787256420000006</v>
          </cell>
          <cell r="BL27">
            <v>0</v>
          </cell>
          <cell r="BM27">
            <v>50.136670700000003</v>
          </cell>
          <cell r="BN27">
            <v>0</v>
          </cell>
          <cell r="BO27">
            <v>0</v>
          </cell>
          <cell r="BP27">
            <v>0</v>
          </cell>
          <cell r="BQ27">
            <v>50.136670700000003</v>
          </cell>
          <cell r="BR27">
            <v>0</v>
          </cell>
          <cell r="BS27">
            <v>2.65058572</v>
          </cell>
          <cell r="BT27">
            <v>0</v>
          </cell>
          <cell r="BU27">
            <v>0</v>
          </cell>
          <cell r="BV27">
            <v>0</v>
          </cell>
          <cell r="BW27">
            <v>2.65058572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475.62674384858701</v>
          </cell>
          <cell r="CY27">
            <v>18.649890666843731</v>
          </cell>
          <cell r="CZ27">
            <v>388.88995074723192</v>
          </cell>
          <cell r="DA27">
            <v>0</v>
          </cell>
          <cell r="DB27">
            <v>68.086902434511359</v>
          </cell>
          <cell r="DE27">
            <v>401.58630275000002</v>
          </cell>
          <cell r="DG27">
            <v>475.62674384858701</v>
          </cell>
          <cell r="DH27">
            <v>467.36288981858701</v>
          </cell>
          <cell r="DI27">
            <v>8.263854030000001</v>
          </cell>
          <cell r="DJ27">
            <v>8.263854030000001</v>
          </cell>
          <cell r="DK27">
            <v>0</v>
          </cell>
          <cell r="DL27">
            <v>0</v>
          </cell>
          <cell r="DM27">
            <v>0</v>
          </cell>
          <cell r="DN27">
            <v>142.68802315457594</v>
          </cell>
          <cell r="DS27">
            <v>142.68802315457594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393.32244872000001</v>
          </cell>
          <cell r="ED27">
            <v>0</v>
          </cell>
          <cell r="EE27">
            <v>386.53098899999998</v>
          </cell>
          <cell r="EF27">
            <v>0</v>
          </cell>
          <cell r="EG27">
            <v>6.7914597200000006</v>
          </cell>
          <cell r="EH27">
            <v>1.4571099999999999</v>
          </cell>
          <cell r="EI27">
            <v>0</v>
          </cell>
          <cell r="EJ27">
            <v>0</v>
          </cell>
          <cell r="EK27">
            <v>0</v>
          </cell>
          <cell r="EL27">
            <v>1.4571099999999999</v>
          </cell>
          <cell r="EM27">
            <v>391.86533872000001</v>
          </cell>
          <cell r="EN27">
            <v>0</v>
          </cell>
          <cell r="EO27">
            <v>386.53098899999998</v>
          </cell>
          <cell r="EP27">
            <v>0</v>
          </cell>
          <cell r="EQ27">
            <v>5.3343497200000005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>
            <v>4</v>
          </cell>
          <cell r="FK27" t="str">
            <v>4</v>
          </cell>
          <cell r="FN27">
            <v>475.62674384858701</v>
          </cell>
          <cell r="FO27">
            <v>0</v>
          </cell>
          <cell r="FP27">
            <v>0</v>
          </cell>
          <cell r="FQ27">
            <v>0</v>
          </cell>
          <cell r="FR27">
            <v>53</v>
          </cell>
          <cell r="FS27">
            <v>53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475.62674384858701</v>
          </cell>
          <cell r="GL27">
            <v>0</v>
          </cell>
          <cell r="GM27">
            <v>0</v>
          </cell>
          <cell r="GN27">
            <v>0</v>
          </cell>
          <cell r="GO27">
            <v>53</v>
          </cell>
          <cell r="GP27">
            <v>53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475.62674384858701</v>
          </cell>
          <cell r="GW27">
            <v>0</v>
          </cell>
          <cell r="GX27">
            <v>0</v>
          </cell>
          <cell r="GY27">
            <v>0</v>
          </cell>
          <cell r="GZ27">
            <v>53</v>
          </cell>
          <cell r="HA27">
            <v>53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с</v>
          </cell>
          <cell r="OR27">
            <v>0</v>
          </cell>
          <cell r="OT27">
            <v>561.23955774133265</v>
          </cell>
        </row>
        <row r="28">
          <cell r="A28" t="str">
            <v>Г</v>
          </cell>
          <cell r="B28" t="str">
            <v>1.1.3.1</v>
          </cell>
          <cell r="C2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852.29004287199996</v>
          </cell>
          <cell r="K28">
            <v>0</v>
          </cell>
          <cell r="L28">
            <v>852.29004287199996</v>
          </cell>
          <cell r="M28">
            <v>0</v>
          </cell>
          <cell r="N28">
            <v>0</v>
          </cell>
          <cell r="O28">
            <v>75.508838269152477</v>
          </cell>
          <cell r="P28">
            <v>178.17639041999999</v>
          </cell>
          <cell r="Q28">
            <v>598.60481432284746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3812.2178934788185</v>
          </cell>
          <cell r="CY28">
            <v>572.7289210797162</v>
          </cell>
          <cell r="CZ28">
            <v>1552.4358180467182</v>
          </cell>
          <cell r="DA28">
            <v>1396.6332410204841</v>
          </cell>
          <cell r="DB28">
            <v>351.73938608438334</v>
          </cell>
          <cell r="DE28">
            <v>0</v>
          </cell>
          <cell r="DG28">
            <v>606.57616354999993</v>
          </cell>
          <cell r="DH28">
            <v>0</v>
          </cell>
          <cell r="DI28">
            <v>606.57616354999993</v>
          </cell>
          <cell r="DJ28">
            <v>38.906113530000006</v>
          </cell>
          <cell r="DK28">
            <v>197.33895278</v>
          </cell>
          <cell r="DL28">
            <v>344.75768944999993</v>
          </cell>
          <cell r="DM28">
            <v>25.573407790000001</v>
          </cell>
          <cell r="DN28">
            <v>277.00832313952753</v>
          </cell>
          <cell r="DS28">
            <v>142.68802315457594</v>
          </cell>
          <cell r="DT28">
            <v>56.493174655273869</v>
          </cell>
          <cell r="DU28">
            <v>49.232590688265262</v>
          </cell>
          <cell r="DV28">
            <v>28.594534641412469</v>
          </cell>
          <cell r="DW28">
            <v>49.232590688265262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870.93788626000003</v>
          </cell>
          <cell r="ED28">
            <v>346.03663713000003</v>
          </cell>
          <cell r="EE28">
            <v>488.22764986999994</v>
          </cell>
          <cell r="EF28">
            <v>24.389055679999998</v>
          </cell>
          <cell r="EG28">
            <v>12.284543580000001</v>
          </cell>
          <cell r="EH28">
            <v>323.89559782000003</v>
          </cell>
          <cell r="EI28">
            <v>224.59279934</v>
          </cell>
          <cell r="EJ28">
            <v>95.952902250000008</v>
          </cell>
          <cell r="EK28">
            <v>0</v>
          </cell>
          <cell r="EL28">
            <v>3.3498962299999997</v>
          </cell>
          <cell r="EM28">
            <v>547.04228843999999</v>
          </cell>
          <cell r="EN28">
            <v>121.44383779</v>
          </cell>
          <cell r="EO28">
            <v>392.27474761999997</v>
          </cell>
          <cell r="EP28">
            <v>24.389055679999998</v>
          </cell>
          <cell r="EQ28">
            <v>8.9346473500000005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3102.5564480438834</v>
          </cell>
          <cell r="FO28">
            <v>0</v>
          </cell>
          <cell r="FP28">
            <v>175.58</v>
          </cell>
          <cell r="FQ28">
            <v>0</v>
          </cell>
          <cell r="FR28">
            <v>697.62100000000009</v>
          </cell>
          <cell r="FS28">
            <v>695.62100000000009</v>
          </cell>
          <cell r="FT28">
            <v>2</v>
          </cell>
          <cell r="FU28">
            <v>0</v>
          </cell>
          <cell r="FV28">
            <v>162</v>
          </cell>
          <cell r="FW28">
            <v>0</v>
          </cell>
          <cell r="FX28">
            <v>162</v>
          </cell>
          <cell r="FZ28">
            <v>604.26295830000004</v>
          </cell>
          <cell r="GA28">
            <v>0</v>
          </cell>
          <cell r="GB28">
            <v>10.842000000000002</v>
          </cell>
          <cell r="GC28">
            <v>0</v>
          </cell>
          <cell r="GD28">
            <v>18.175000000000001</v>
          </cell>
          <cell r="GE28">
            <v>18.175000000000001</v>
          </cell>
          <cell r="GF28">
            <v>0</v>
          </cell>
          <cell r="GG28">
            <v>0</v>
          </cell>
          <cell r="GH28">
            <v>112</v>
          </cell>
          <cell r="GI28">
            <v>0</v>
          </cell>
          <cell r="GJ28">
            <v>112</v>
          </cell>
          <cell r="GK28">
            <v>514.82344348999948</v>
          </cell>
          <cell r="GL28">
            <v>0</v>
          </cell>
          <cell r="GM28">
            <v>0</v>
          </cell>
          <cell r="GN28">
            <v>0</v>
          </cell>
          <cell r="GO28">
            <v>59.307000000000002</v>
          </cell>
          <cell r="GP28">
            <v>59.307000000000002</v>
          </cell>
          <cell r="GQ28">
            <v>0</v>
          </cell>
          <cell r="GR28">
            <v>0</v>
          </cell>
          <cell r="GS28">
            <v>1</v>
          </cell>
          <cell r="GT28">
            <v>0</v>
          </cell>
          <cell r="GU28">
            <v>1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39.196699641412465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6.3069999999999995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104.98333589000001</v>
          </cell>
          <cell r="IZ28">
            <v>0</v>
          </cell>
          <cell r="JA28">
            <v>0</v>
          </cell>
          <cell r="JB28">
            <v>0</v>
          </cell>
          <cell r="JC28">
            <v>4.1915000000000004</v>
          </cell>
          <cell r="JD28">
            <v>4.1915000000000004</v>
          </cell>
          <cell r="JE28">
            <v>0</v>
          </cell>
          <cell r="JF28">
            <v>0</v>
          </cell>
          <cell r="JG28">
            <v>3</v>
          </cell>
          <cell r="JH28">
            <v>0</v>
          </cell>
          <cell r="JI28">
            <v>3</v>
          </cell>
          <cell r="JJ28">
            <v>2.0477729099999999</v>
          </cell>
          <cell r="JK28">
            <v>0</v>
          </cell>
          <cell r="JL28">
            <v>0</v>
          </cell>
          <cell r="JM28">
            <v>0</v>
          </cell>
          <cell r="JN28">
            <v>0.73250000000000004</v>
          </cell>
          <cell r="JO28">
            <v>0.73250000000000004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102.93556298</v>
          </cell>
          <cell r="JV28">
            <v>0</v>
          </cell>
          <cell r="JW28">
            <v>0</v>
          </cell>
          <cell r="JX28">
            <v>0</v>
          </cell>
          <cell r="JY28">
            <v>3.4590000000000001</v>
          </cell>
          <cell r="JZ28">
            <v>3.4590000000000001</v>
          </cell>
          <cell r="KA28">
            <v>0</v>
          </cell>
          <cell r="KB28">
            <v>0</v>
          </cell>
          <cell r="KC28">
            <v>3</v>
          </cell>
          <cell r="KD28">
            <v>0</v>
          </cell>
          <cell r="KE28">
            <v>3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0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0</v>
          </cell>
          <cell r="OM28">
            <v>0</v>
          </cell>
          <cell r="ON28">
            <v>0</v>
          </cell>
          <cell r="OO28">
            <v>0</v>
          </cell>
          <cell r="OP28">
            <v>0</v>
          </cell>
          <cell r="OR28">
            <v>0</v>
          </cell>
          <cell r="OT28">
            <v>2031.6875938646697</v>
          </cell>
        </row>
        <row r="29">
          <cell r="A29" t="str">
            <v>Г</v>
          </cell>
          <cell r="B29" t="str">
            <v>1.1.3.1</v>
          </cell>
          <cell r="C2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9" t="str">
            <v>Г</v>
          </cell>
          <cell r="E29">
            <v>224.12803382990978</v>
          </cell>
          <cell r="H29">
            <v>246.17686506000001</v>
          </cell>
          <cell r="J29">
            <v>881.25770909190976</v>
          </cell>
          <cell r="K29">
            <v>28.967666219909788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51.016497449999996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51.016497449999996</v>
          </cell>
          <cell r="BM29">
            <v>48.419644949999999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48.419644949999999</v>
          </cell>
          <cell r="BS29">
            <v>2.5968525000000002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2.5968525000000002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1</v>
          </cell>
          <cell r="CR29">
            <v>2</v>
          </cell>
          <cell r="CS29" t="str">
            <v/>
          </cell>
          <cell r="CT29" t="str">
            <v/>
          </cell>
          <cell r="CU29" t="str">
            <v>1 2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228.34992054</v>
          </cell>
          <cell r="DG29">
            <v>587.6714599602625</v>
          </cell>
          <cell r="DH29">
            <v>-18.904703589737458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>
            <v>2</v>
          </cell>
          <cell r="DZ29" t="str">
            <v/>
          </cell>
          <cell r="EA29" t="str">
            <v/>
          </cell>
          <cell r="EB29" t="str">
            <v>2</v>
          </cell>
          <cell r="EC29">
            <v>870.93788626000003</v>
          </cell>
          <cell r="ED29">
            <v>346.03663713000003</v>
          </cell>
          <cell r="EE29">
            <v>488.22764986999994</v>
          </cell>
          <cell r="EF29">
            <v>24.389055679999998</v>
          </cell>
          <cell r="EG29">
            <v>12.284543580000001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104.98333589000001</v>
          </cell>
          <cell r="IZ29">
            <v>0</v>
          </cell>
          <cell r="JA29">
            <v>0</v>
          </cell>
          <cell r="JB29">
            <v>0</v>
          </cell>
          <cell r="JC29">
            <v>4.1915000000000004</v>
          </cell>
          <cell r="JD29">
            <v>4.1915000000000004</v>
          </cell>
          <cell r="JE29">
            <v>0</v>
          </cell>
          <cell r="JF29">
            <v>0</v>
          </cell>
          <cell r="JG29">
            <v>3</v>
          </cell>
          <cell r="JH29">
            <v>0</v>
          </cell>
          <cell r="JI29">
            <v>3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0</v>
          </cell>
          <cell r="LK29">
            <v>0</v>
          </cell>
          <cell r="LL29">
            <v>0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2031.6875938646697</v>
          </cell>
        </row>
        <row r="30">
          <cell r="A30" t="str">
            <v>I_Che154</v>
          </cell>
          <cell r="B30" t="str">
            <v>1.1.3.1</v>
          </cell>
          <cell r="C30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0" t="str">
            <v>I_Che154</v>
          </cell>
          <cell r="E30">
            <v>66.667199999999994</v>
          </cell>
          <cell r="H30">
            <v>104.56585699</v>
          </cell>
          <cell r="J30">
            <v>66.667199999999994</v>
          </cell>
          <cell r="K30">
            <v>-0.80260947000000726</v>
          </cell>
          <cell r="L30">
            <v>67.469809470000001</v>
          </cell>
          <cell r="M30">
            <v>0</v>
          </cell>
          <cell r="N30">
            <v>0</v>
          </cell>
          <cell r="O30">
            <v>0.79980928000000007</v>
          </cell>
          <cell r="P30">
            <v>0</v>
          </cell>
          <cell r="Q30">
            <v>66.670000189999996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37.096047519999999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37.096047519999999</v>
          </cell>
          <cell r="BM30">
            <v>37.096047519999999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37.096047519999999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56.497627118644068</v>
          </cell>
          <cell r="CY30">
            <v>5.9458143054923873</v>
          </cell>
          <cell r="CZ30">
            <v>4.3215084745762704</v>
          </cell>
          <cell r="DA30">
            <v>40.744338983050845</v>
          </cell>
          <cell r="DB30">
            <v>5.48596535552457</v>
          </cell>
          <cell r="DE30">
            <v>88.737137840000003</v>
          </cell>
          <cell r="DG30">
            <v>56.497627118644068</v>
          </cell>
          <cell r="DH30">
            <v>-32.239510721355934</v>
          </cell>
          <cell r="DI30">
            <v>88.737137840000003</v>
          </cell>
          <cell r="DJ30">
            <v>3.4956187999999999</v>
          </cell>
          <cell r="DK30">
            <v>6.20566979</v>
          </cell>
          <cell r="DL30">
            <v>70.941214029999998</v>
          </cell>
          <cell r="DM30">
            <v>8.0946352200000007</v>
          </cell>
          <cell r="DN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56.497627118644068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2</v>
          </cell>
          <cell r="FW30">
            <v>0</v>
          </cell>
          <cell r="FX30">
            <v>2</v>
          </cell>
          <cell r="FZ30">
            <v>88.737137840000003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2</v>
          </cell>
          <cell r="GI30">
            <v>0</v>
          </cell>
          <cell r="GJ30">
            <v>2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0</v>
          </cell>
          <cell r="LK30">
            <v>0</v>
          </cell>
          <cell r="LL30">
            <v>0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2018</v>
          </cell>
          <cell r="OM30">
            <v>2018</v>
          </cell>
          <cell r="ON30">
            <v>2019</v>
          </cell>
          <cell r="OO30">
            <v>2019</v>
          </cell>
          <cell r="OP30" t="str">
            <v>з</v>
          </cell>
          <cell r="OR30">
            <v>0</v>
          </cell>
          <cell r="OT30">
            <v>66.667199999999994</v>
          </cell>
        </row>
        <row r="31">
          <cell r="A31" t="str">
            <v>I_Che155</v>
          </cell>
          <cell r="B31" t="str">
            <v>1.1.3.1</v>
          </cell>
          <cell r="C31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I_Che155</v>
          </cell>
          <cell r="E31">
            <v>66.667199999999994</v>
          </cell>
          <cell r="H31">
            <v>75.427327680000005</v>
          </cell>
          <cell r="J31">
            <v>66.667199999999994</v>
          </cell>
          <cell r="K31">
            <v>-0.36018780000000561</v>
          </cell>
          <cell r="L31">
            <v>67.0273878</v>
          </cell>
          <cell r="M31">
            <v>0</v>
          </cell>
          <cell r="N31">
            <v>0</v>
          </cell>
          <cell r="O31">
            <v>0.40121259999999997</v>
          </cell>
          <cell r="P31">
            <v>0</v>
          </cell>
          <cell r="Q31">
            <v>66.626175200000006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8.3999398799999998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8.3999398799999998</v>
          </cell>
          <cell r="BM31">
            <v>7.0909677000000002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7.0909677000000002</v>
          </cell>
          <cell r="BS31">
            <v>1.30897218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1.30897218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>
            <v>2</v>
          </cell>
          <cell r="CS31" t="str">
            <v/>
          </cell>
          <cell r="CT31" t="str">
            <v/>
          </cell>
          <cell r="CU31" t="str">
            <v>1 2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63.98266606</v>
          </cell>
          <cell r="DG31">
            <v>56.497627118644068</v>
          </cell>
          <cell r="DH31">
            <v>-7.4850389413559313</v>
          </cell>
          <cell r="DI31">
            <v>63.98266606</v>
          </cell>
          <cell r="DJ31">
            <v>3.6648414599999999</v>
          </cell>
          <cell r="DK31">
            <v>6.0235589999999997</v>
          </cell>
          <cell r="DL31">
            <v>48.551260999999997</v>
          </cell>
          <cell r="DM31">
            <v>5.7430045999999999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63.98266606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I_Che156</v>
          </cell>
          <cell r="B32" t="str">
            <v>1.1.3.1</v>
          </cell>
          <cell r="C32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I_Che156</v>
          </cell>
          <cell r="E32">
            <v>6.4258690237000007</v>
          </cell>
          <cell r="H32">
            <v>1.3502471700000001</v>
          </cell>
          <cell r="J32">
            <v>6.4258690237000007</v>
          </cell>
          <cell r="K32">
            <v>5.3456712837000007</v>
          </cell>
          <cell r="L32">
            <v>1.08019774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1.08019774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0.27004942999999998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0.27004942999999998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0.27004942999999998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0.27004942999999998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>
            <v>2</v>
          </cell>
          <cell r="CS32" t="str">
            <v/>
          </cell>
          <cell r="CT32" t="str">
            <v/>
          </cell>
          <cell r="CU32" t="str">
            <v>2</v>
          </cell>
          <cell r="CX32">
            <v>5.4456517150000012</v>
          </cell>
          <cell r="CY32">
            <v>0.21294110169491659</v>
          </cell>
          <cell r="CZ32">
            <v>0.32378050000000003</v>
          </cell>
          <cell r="DA32">
            <v>4.7439431000000001</v>
          </cell>
          <cell r="DB32">
            <v>0.16498701330508475</v>
          </cell>
          <cell r="DE32">
            <v>3.4351589499999999</v>
          </cell>
          <cell r="DG32">
            <v>5.4456517150000012</v>
          </cell>
          <cell r="DH32">
            <v>4.3013744550000013</v>
          </cell>
          <cell r="DI32">
            <v>1.14427726</v>
          </cell>
          <cell r="DJ32">
            <v>1.14427726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>
            <v>2</v>
          </cell>
          <cell r="DZ32" t="str">
            <v/>
          </cell>
          <cell r="EA32" t="str">
            <v/>
          </cell>
          <cell r="EB32" t="str">
            <v>2</v>
          </cell>
          <cell r="EC32">
            <v>2.29088169</v>
          </cell>
          <cell r="ED32">
            <v>7.6980999999999994E-2</v>
          </cell>
          <cell r="EE32">
            <v>2.0099830000000001</v>
          </cell>
          <cell r="EF32">
            <v>0.20391769000000001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2.29088169</v>
          </cell>
          <cell r="EN32">
            <v>7.6980999999999994E-2</v>
          </cell>
          <cell r="EO32">
            <v>2.0099830000000001</v>
          </cell>
          <cell r="EP32">
            <v>0.20391769000000001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5.4456517150000012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1</v>
          </cell>
          <cell r="FW32">
            <v>0</v>
          </cell>
          <cell r="FX32">
            <v>1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2019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6.4258690237000007</v>
          </cell>
        </row>
        <row r="33">
          <cell r="A33" t="str">
            <v>I_Che157</v>
          </cell>
          <cell r="B33" t="str">
            <v>1.1.3.1</v>
          </cell>
          <cell r="C33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I_Che157</v>
          </cell>
          <cell r="E33">
            <v>6.3037113574200019</v>
          </cell>
          <cell r="H33">
            <v>1.2415396099999998</v>
          </cell>
          <cell r="J33">
            <v>6.3037113574200019</v>
          </cell>
          <cell r="K33">
            <v>5.3104796674200019</v>
          </cell>
          <cell r="L33">
            <v>0.99323169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0.99323169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0.24830791999999999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0.24830791999999999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0.24830791999999999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0.24830791999999999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5.3421282690000016</v>
          </cell>
          <cell r="CY33">
            <v>0.12776466101695089</v>
          </cell>
          <cell r="CZ33">
            <v>0.32378050000000003</v>
          </cell>
          <cell r="DA33">
            <v>4.7439431000000001</v>
          </cell>
          <cell r="DB33">
            <v>0.14664000798305082</v>
          </cell>
          <cell r="DE33">
            <v>4.9372881399999997</v>
          </cell>
          <cell r="DG33">
            <v>5.3421282690000016</v>
          </cell>
          <cell r="DH33">
            <v>4.2899760590000016</v>
          </cell>
          <cell r="DI33">
            <v>1.05215221</v>
          </cell>
          <cell r="DJ33">
            <v>1.05215221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3.8851359300000001</v>
          </cell>
          <cell r="ED33">
            <v>0.25903500000000002</v>
          </cell>
          <cell r="EE33">
            <v>3.2832699999999999</v>
          </cell>
          <cell r="EF33">
            <v>0.34283092999999998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3.8851359300000001</v>
          </cell>
          <cell r="EN33">
            <v>0.25903500000000002</v>
          </cell>
          <cell r="EO33">
            <v>3.2832699999999999</v>
          </cell>
          <cell r="EP33">
            <v>0.34283092999999998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5.3421282690000016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6.3037113574200019</v>
          </cell>
        </row>
        <row r="34">
          <cell r="A34" t="str">
            <v>I_Che158</v>
          </cell>
          <cell r="B34" t="str">
            <v>1.1.3.1</v>
          </cell>
          <cell r="C34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I_Che158</v>
          </cell>
          <cell r="E34">
            <v>4.2839554260000012</v>
          </cell>
          <cell r="H34">
            <v>4.7638842500000003</v>
          </cell>
          <cell r="J34">
            <v>4.2839554260000012</v>
          </cell>
          <cell r="K34">
            <v>-5.7955953999998755E-2</v>
          </cell>
          <cell r="L34">
            <v>4.34191138</v>
          </cell>
          <cell r="M34">
            <v>0</v>
          </cell>
          <cell r="N34">
            <v>0</v>
          </cell>
          <cell r="O34">
            <v>1.4131579999999999E-2</v>
          </cell>
          <cell r="P34">
            <v>0</v>
          </cell>
          <cell r="Q34">
            <v>4.3277798000000001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0.42197286999999994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0.42197286999999994</v>
          </cell>
          <cell r="BM34">
            <v>0.23619411999999998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0.23619411999999998</v>
          </cell>
          <cell r="BS34">
            <v>0.18577874999999999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0.18577874999999999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1</v>
          </cell>
          <cell r="CR34">
            <v>2</v>
          </cell>
          <cell r="CS34" t="str">
            <v/>
          </cell>
          <cell r="CT34" t="str">
            <v/>
          </cell>
          <cell r="CU34" t="str">
            <v>1 2</v>
          </cell>
          <cell r="CX34">
            <v>3.6304707000000009</v>
          </cell>
          <cell r="CY34">
            <v>0.10553070000000055</v>
          </cell>
          <cell r="CZ34">
            <v>7.7170000000000002E-2</v>
          </cell>
          <cell r="DA34">
            <v>3.3668200000000001</v>
          </cell>
          <cell r="DB34">
            <v>8.0950000000000064E-2</v>
          </cell>
          <cell r="DE34">
            <v>4.0393457100000001</v>
          </cell>
          <cell r="DG34">
            <v>3.6304707000000009</v>
          </cell>
          <cell r="DH34">
            <v>-0.40887500999999915</v>
          </cell>
          <cell r="DI34">
            <v>4.0393457100000001</v>
          </cell>
          <cell r="DJ34">
            <v>0.15743962</v>
          </cell>
          <cell r="DK34">
            <v>0.235292</v>
          </cell>
          <cell r="DL34">
            <v>3.432318</v>
          </cell>
          <cell r="DM34">
            <v>0.21429608999999999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3.6304707000000009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4.0393457100000001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1</v>
          </cell>
          <cell r="GI34">
            <v>0</v>
          </cell>
          <cell r="GJ34">
            <v>1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0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0</v>
          </cell>
          <cell r="JH34">
            <v>0</v>
          </cell>
          <cell r="JI34">
            <v>0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0</v>
          </cell>
          <cell r="LK34">
            <v>0</v>
          </cell>
          <cell r="LL34">
            <v>0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2018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4.2839554260000012</v>
          </cell>
        </row>
        <row r="35">
          <cell r="A35" t="str">
            <v>I_Che159</v>
          </cell>
          <cell r="B35" t="str">
            <v>1.1.3.1</v>
          </cell>
          <cell r="C35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I_Che159</v>
          </cell>
          <cell r="E35">
            <v>6.3647901905600008</v>
          </cell>
          <cell r="H35">
            <v>7.0265916000000006</v>
          </cell>
          <cell r="J35">
            <v>6.3647901905600008</v>
          </cell>
          <cell r="K35">
            <v>-2.4427559439999413E-2</v>
          </cell>
          <cell r="L35">
            <v>6.3892177500000003</v>
          </cell>
          <cell r="M35">
            <v>0</v>
          </cell>
          <cell r="N35">
            <v>0</v>
          </cell>
          <cell r="O35">
            <v>2.4427569999999999E-2</v>
          </cell>
          <cell r="P35">
            <v>0</v>
          </cell>
          <cell r="Q35">
            <v>6.36479018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0.63737385000000013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0.63737385000000013</v>
          </cell>
          <cell r="BM35">
            <v>0.32523374000000005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0.32523374000000005</v>
          </cell>
          <cell r="BS35">
            <v>0.31214011000000003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0.31214011000000003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5.393889992000001</v>
          </cell>
          <cell r="CY35">
            <v>0.17035288135593321</v>
          </cell>
          <cell r="CZ35">
            <v>0.32378050000000003</v>
          </cell>
          <cell r="DA35">
            <v>4.7439431000000001</v>
          </cell>
          <cell r="DB35">
            <v>0.15581351064406787</v>
          </cell>
          <cell r="DE35">
            <v>5.9584648800000002</v>
          </cell>
          <cell r="DG35">
            <v>5.393889992000001</v>
          </cell>
          <cell r="DH35">
            <v>-0.56457488799999922</v>
          </cell>
          <cell r="DI35">
            <v>5.9584648800000002</v>
          </cell>
          <cell r="DJ35">
            <v>0.45200950000000001</v>
          </cell>
          <cell r="DK35">
            <v>0.485487</v>
          </cell>
          <cell r="DL35">
            <v>4.7209190000000003</v>
          </cell>
          <cell r="DM35">
            <v>0.30004938000000003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5.393889992000001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5.9584648800000002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6.3647901905600008</v>
          </cell>
        </row>
        <row r="36">
          <cell r="A36" t="str">
            <v>I_Che161</v>
          </cell>
          <cell r="B36" t="str">
            <v>1.1.3.1</v>
          </cell>
          <cell r="C36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I_Che161</v>
          </cell>
          <cell r="E36">
            <v>4.2424466839999999</v>
          </cell>
          <cell r="H36">
            <v>0.97962117999999987</v>
          </cell>
          <cell r="J36">
            <v>4.2424466839999999</v>
          </cell>
          <cell r="K36">
            <v>3.4587497439999999</v>
          </cell>
          <cell r="L36">
            <v>0.7836969399999999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0.7836969399999999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0.19592424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0.19592424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0.19592424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0.19592424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>
            <v>2</v>
          </cell>
          <cell r="CS36" t="str">
            <v/>
          </cell>
          <cell r="CT36" t="str">
            <v/>
          </cell>
          <cell r="CU36" t="str">
            <v>2</v>
          </cell>
          <cell r="CX36">
            <v>3.5952938000000003</v>
          </cell>
          <cell r="CY36">
            <v>7.0353799999999952E-2</v>
          </cell>
          <cell r="CZ36">
            <v>7.7170000000000002E-2</v>
          </cell>
          <cell r="DA36">
            <v>3.3668200000000001</v>
          </cell>
          <cell r="DB36">
            <v>8.0950000000000036E-2</v>
          </cell>
          <cell r="DE36">
            <v>11.074995919999999</v>
          </cell>
          <cell r="DG36">
            <v>3.5952938000000003</v>
          </cell>
          <cell r="DH36">
            <v>2.7651063600000003</v>
          </cell>
          <cell r="DI36">
            <v>0.83018744</v>
          </cell>
          <cell r="DJ36">
            <v>0.83018744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>
            <v>2</v>
          </cell>
          <cell r="DZ36" t="str">
            <v/>
          </cell>
          <cell r="EA36" t="str">
            <v/>
          </cell>
          <cell r="EB36" t="str">
            <v>2</v>
          </cell>
          <cell r="EC36">
            <v>10.24480848</v>
          </cell>
          <cell r="ED36">
            <v>0</v>
          </cell>
          <cell r="EE36">
            <v>0.106422</v>
          </cell>
          <cell r="EF36">
            <v>9.1964609999999993</v>
          </cell>
          <cell r="EG36">
            <v>0.94192547999999998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10.24480848</v>
          </cell>
          <cell r="EN36">
            <v>0</v>
          </cell>
          <cell r="EO36">
            <v>0.106422</v>
          </cell>
          <cell r="EP36">
            <v>9.1964609999999993</v>
          </cell>
          <cell r="EQ36">
            <v>0.94192547999999998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3.5952938000000003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2019</v>
          </cell>
          <cell r="ON36">
            <v>2019</v>
          </cell>
          <cell r="OO36">
            <v>2019</v>
          </cell>
          <cell r="OP36" t="str">
            <v>с</v>
          </cell>
          <cell r="OR36">
            <v>0</v>
          </cell>
          <cell r="OT36">
            <v>4.2424466839999999</v>
          </cell>
        </row>
        <row r="37">
          <cell r="A37" t="str">
            <v>I_Che163</v>
          </cell>
          <cell r="B37" t="str">
            <v>1.1.3.1</v>
          </cell>
          <cell r="C37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I_Che163</v>
          </cell>
          <cell r="E37">
            <v>4.2424543184767876</v>
          </cell>
          <cell r="H37">
            <v>9.6742689999999992E-2</v>
          </cell>
          <cell r="J37">
            <v>4.2424543184767876</v>
          </cell>
          <cell r="K37">
            <v>4.1650601684767876</v>
          </cell>
          <cell r="L37">
            <v>7.7394149999999995E-2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7.7394149999999995E-2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1.9348540000000001E-2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1.9348540000000001E-2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1.9348540000000001E-2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1.9348540000000001E-2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3.5953002698955827</v>
          </cell>
          <cell r="CY37">
            <v>7.0360269895582347E-2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0.65535911000000002</v>
          </cell>
          <cell r="DG37">
            <v>3.5953002698955827</v>
          </cell>
          <cell r="DH37">
            <v>3.5133149398955825</v>
          </cell>
          <cell r="DI37">
            <v>8.1985329999999995E-2</v>
          </cell>
          <cell r="DJ37">
            <v>8.1985329999999995E-2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0.57337378000000006</v>
          </cell>
          <cell r="ED37">
            <v>0</v>
          </cell>
          <cell r="EE37">
            <v>2.2460999999999998E-2</v>
          </cell>
          <cell r="EF37">
            <v>0.49929800000000002</v>
          </cell>
          <cell r="EG37">
            <v>5.1614779999999999E-2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0.57337378000000006</v>
          </cell>
          <cell r="EN37">
            <v>0</v>
          </cell>
          <cell r="EO37">
            <v>2.2460999999999998E-2</v>
          </cell>
          <cell r="EP37">
            <v>0.49929800000000002</v>
          </cell>
          <cell r="EQ37">
            <v>5.1614779999999999E-2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3.5953002698955827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0</v>
          </cell>
          <cell r="JH37">
            <v>0</v>
          </cell>
          <cell r="JI37">
            <v>0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0</v>
          </cell>
          <cell r="LK37">
            <v>0</v>
          </cell>
          <cell r="LL37">
            <v>0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4.2424543184767876</v>
          </cell>
        </row>
        <row r="38">
          <cell r="A38" t="str">
            <v>I_Che162</v>
          </cell>
          <cell r="B38" t="str">
            <v>1.1.3.1</v>
          </cell>
          <cell r="C38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I_Che162</v>
          </cell>
          <cell r="E38">
            <v>6.5126933317530007</v>
          </cell>
          <cell r="H38">
            <v>0.28165667</v>
          </cell>
          <cell r="J38">
            <v>6.5126933317530007</v>
          </cell>
          <cell r="K38">
            <v>6.2873679917530003</v>
          </cell>
          <cell r="L38">
            <v>0.22532533999999999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0.22532533999999999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5.6331329999999999E-2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5.6331329999999999E-2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5.6331329999999999E-2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5.6331329999999999E-2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5.5192316370788141</v>
          </cell>
          <cell r="CY38">
            <v>0.1768140158923735</v>
          </cell>
          <cell r="CZ38">
            <v>0.32378050000000003</v>
          </cell>
          <cell r="DA38">
            <v>4.7439431000000001</v>
          </cell>
          <cell r="DB38">
            <v>0.27469402118644076</v>
          </cell>
          <cell r="DE38">
            <v>2.7506974500000001</v>
          </cell>
          <cell r="DG38">
            <v>5.5192316370788141</v>
          </cell>
          <cell r="DH38">
            <v>5.2805395370788144</v>
          </cell>
          <cell r="DI38">
            <v>0.23869210000000002</v>
          </cell>
          <cell r="DJ38">
            <v>0.23869210000000002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2.5120053499999999</v>
          </cell>
          <cell r="ED38">
            <v>0</v>
          </cell>
          <cell r="EE38">
            <v>0.31027100000000002</v>
          </cell>
          <cell r="EF38">
            <v>1.989744</v>
          </cell>
          <cell r="EG38">
            <v>0.21199034999999999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2.5120053499999999</v>
          </cell>
          <cell r="EN38">
            <v>0</v>
          </cell>
          <cell r="EO38">
            <v>0.31027100000000002</v>
          </cell>
          <cell r="EP38">
            <v>1.989744</v>
          </cell>
          <cell r="EQ38">
            <v>0.21199034999999999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5.5192316370788141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6.5126933317530007</v>
          </cell>
        </row>
        <row r="39">
          <cell r="A39" t="str">
            <v>I_Che160</v>
          </cell>
          <cell r="B39" t="str">
            <v>1.1.3.1</v>
          </cell>
          <cell r="C39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I_Che160</v>
          </cell>
          <cell r="E39">
            <v>52.417713498000005</v>
          </cell>
          <cell r="H39">
            <v>50.443397219999994</v>
          </cell>
          <cell r="J39">
            <v>52.417713498000005</v>
          </cell>
          <cell r="K39">
            <v>5.6455181480000078</v>
          </cell>
          <cell r="L39">
            <v>46.772195349999997</v>
          </cell>
          <cell r="M39">
            <v>0</v>
          </cell>
          <cell r="N39">
            <v>0</v>
          </cell>
          <cell r="O39">
            <v>0.19774679000000001</v>
          </cell>
          <cell r="P39">
            <v>0</v>
          </cell>
          <cell r="Q39">
            <v>46.57444856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3.67120187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3.67120187</v>
          </cell>
          <cell r="BM39">
            <v>3.67120187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3.67120187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44.421791100000007</v>
          </cell>
          <cell r="CY39">
            <v>1.4410708474576301</v>
          </cell>
          <cell r="CZ39">
            <v>4.1923575</v>
          </cell>
          <cell r="DA39">
            <v>37.550650000000005</v>
          </cell>
          <cell r="DB39">
            <v>1.2377127525423726</v>
          </cell>
          <cell r="DE39">
            <v>42.77880648</v>
          </cell>
          <cell r="DG39">
            <v>44.421791100000007</v>
          </cell>
          <cell r="DH39">
            <v>1.6429846200000071</v>
          </cell>
          <cell r="DI39">
            <v>42.77880648</v>
          </cell>
          <cell r="DJ39">
            <v>1.31118866</v>
          </cell>
          <cell r="DK39">
            <v>4.4371280000000004</v>
          </cell>
          <cell r="DL39">
            <v>33.721555000000002</v>
          </cell>
          <cell r="DM39">
            <v>3.3089348199999997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44.421791100000007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42.77880648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1</v>
          </cell>
          <cell r="GI39">
            <v>0</v>
          </cell>
          <cell r="GJ39">
            <v>1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з</v>
          </cell>
          <cell r="OR39">
            <v>0</v>
          </cell>
          <cell r="OT39">
            <v>52.417713498000005</v>
          </cell>
        </row>
        <row r="40">
          <cell r="A40" t="str">
            <v>Г</v>
          </cell>
          <cell r="B40" t="str">
            <v>1.1.3.2</v>
          </cell>
          <cell r="C40" t="str">
            <v>Наименование объекта по производству электрической энергии,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852.29004287199996</v>
          </cell>
          <cell r="K40">
            <v>0</v>
          </cell>
          <cell r="L40">
            <v>852.29004287199996</v>
          </cell>
          <cell r="M40">
            <v>0</v>
          </cell>
          <cell r="N40">
            <v>0</v>
          </cell>
          <cell r="O40">
            <v>75.508838269152477</v>
          </cell>
          <cell r="P40">
            <v>178.17639041999999</v>
          </cell>
          <cell r="Q40">
            <v>598.60481432284746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3812.2178934788185</v>
          </cell>
          <cell r="CY40">
            <v>572.7289210797162</v>
          </cell>
          <cell r="CZ40">
            <v>1552.4358180467182</v>
          </cell>
          <cell r="DA40">
            <v>1396.6332410204841</v>
          </cell>
          <cell r="DB40">
            <v>351.73938608438334</v>
          </cell>
          <cell r="DE40">
            <v>0</v>
          </cell>
          <cell r="DG40">
            <v>606.57616354999993</v>
          </cell>
          <cell r="DH40">
            <v>0</v>
          </cell>
          <cell r="DI40">
            <v>606.57616354999993</v>
          </cell>
          <cell r="DJ40">
            <v>38.906113530000006</v>
          </cell>
          <cell r="DK40">
            <v>197.33895278</v>
          </cell>
          <cell r="DL40">
            <v>344.75768944999993</v>
          </cell>
          <cell r="DM40">
            <v>25.573407790000001</v>
          </cell>
          <cell r="DN40">
            <v>277.00832313952753</v>
          </cell>
          <cell r="DS40">
            <v>142.68802315457594</v>
          </cell>
          <cell r="DT40">
            <v>56.493174655273869</v>
          </cell>
          <cell r="DU40">
            <v>49.232590688265262</v>
          </cell>
          <cell r="DV40">
            <v>28.594534641412469</v>
          </cell>
          <cell r="DW40">
            <v>49.232590688265262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870.93788626000003</v>
          </cell>
          <cell r="ED40">
            <v>346.03663713000003</v>
          </cell>
          <cell r="EE40">
            <v>488.22764986999994</v>
          </cell>
          <cell r="EF40">
            <v>24.389055679999998</v>
          </cell>
          <cell r="EG40">
            <v>12.284543580000001</v>
          </cell>
          <cell r="EH40">
            <v>323.89559782000003</v>
          </cell>
          <cell r="EI40">
            <v>224.59279934</v>
          </cell>
          <cell r="EJ40">
            <v>95.952902250000008</v>
          </cell>
          <cell r="EK40">
            <v>0</v>
          </cell>
          <cell r="EL40">
            <v>3.3498962299999997</v>
          </cell>
          <cell r="EM40">
            <v>547.04228843999999</v>
          </cell>
          <cell r="EN40">
            <v>121.44383779</v>
          </cell>
          <cell r="EO40">
            <v>392.27474761999997</v>
          </cell>
          <cell r="EP40">
            <v>24.389055679999998</v>
          </cell>
          <cell r="EQ40">
            <v>8.9346473500000005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3102.5564480438834</v>
          </cell>
          <cell r="FO40">
            <v>0</v>
          </cell>
          <cell r="FP40">
            <v>175.58</v>
          </cell>
          <cell r="FQ40">
            <v>0</v>
          </cell>
          <cell r="FR40">
            <v>697.62100000000009</v>
          </cell>
          <cell r="FS40">
            <v>695.62100000000009</v>
          </cell>
          <cell r="FT40">
            <v>2</v>
          </cell>
          <cell r="FU40">
            <v>0</v>
          </cell>
          <cell r="FV40">
            <v>162</v>
          </cell>
          <cell r="FW40">
            <v>0</v>
          </cell>
          <cell r="FX40">
            <v>162</v>
          </cell>
          <cell r="FZ40">
            <v>604.26295830000004</v>
          </cell>
          <cell r="GA40">
            <v>0</v>
          </cell>
          <cell r="GB40">
            <v>10.842000000000002</v>
          </cell>
          <cell r="GC40">
            <v>0</v>
          </cell>
          <cell r="GD40">
            <v>18.175000000000001</v>
          </cell>
          <cell r="GE40">
            <v>18.175000000000001</v>
          </cell>
          <cell r="GF40">
            <v>0</v>
          </cell>
          <cell r="GG40">
            <v>0</v>
          </cell>
          <cell r="GH40">
            <v>112</v>
          </cell>
          <cell r="GI40">
            <v>0</v>
          </cell>
          <cell r="GJ40">
            <v>112</v>
          </cell>
          <cell r="GK40">
            <v>514.82344348999948</v>
          </cell>
          <cell r="GL40">
            <v>0</v>
          </cell>
          <cell r="GM40">
            <v>0</v>
          </cell>
          <cell r="GN40">
            <v>0</v>
          </cell>
          <cell r="GO40">
            <v>59.307000000000002</v>
          </cell>
          <cell r="GP40">
            <v>59.307000000000002</v>
          </cell>
          <cell r="GQ40">
            <v>0</v>
          </cell>
          <cell r="GR40">
            <v>0</v>
          </cell>
          <cell r="GS40">
            <v>1</v>
          </cell>
          <cell r="GT40">
            <v>0</v>
          </cell>
          <cell r="GU40">
            <v>1</v>
          </cell>
          <cell r="GV40">
            <v>475.62674384858701</v>
          </cell>
          <cell r="GW40">
            <v>0</v>
          </cell>
          <cell r="GX40">
            <v>0</v>
          </cell>
          <cell r="GY40">
            <v>0</v>
          </cell>
          <cell r="GZ40">
            <v>53</v>
          </cell>
          <cell r="HA40">
            <v>53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39.196699641412465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6.3069999999999995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104.98333589000001</v>
          </cell>
          <cell r="IZ40">
            <v>0</v>
          </cell>
          <cell r="JA40">
            <v>0</v>
          </cell>
          <cell r="JB40">
            <v>0</v>
          </cell>
          <cell r="JC40">
            <v>4.1915000000000004</v>
          </cell>
          <cell r="JD40">
            <v>4.1915000000000004</v>
          </cell>
          <cell r="JE40">
            <v>0</v>
          </cell>
          <cell r="JF40">
            <v>0</v>
          </cell>
          <cell r="JG40">
            <v>3</v>
          </cell>
          <cell r="JH40">
            <v>0</v>
          </cell>
          <cell r="JI40">
            <v>3</v>
          </cell>
          <cell r="JJ40">
            <v>2.0477729099999999</v>
          </cell>
          <cell r="JK40">
            <v>0</v>
          </cell>
          <cell r="JL40">
            <v>0</v>
          </cell>
          <cell r="JM40">
            <v>0</v>
          </cell>
          <cell r="JN40">
            <v>0.73250000000000004</v>
          </cell>
          <cell r="JO40">
            <v>0.73250000000000004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102.93556298</v>
          </cell>
          <cell r="JV40">
            <v>0</v>
          </cell>
          <cell r="JW40">
            <v>0</v>
          </cell>
          <cell r="JX40">
            <v>0</v>
          </cell>
          <cell r="JY40">
            <v>3.4590000000000001</v>
          </cell>
          <cell r="JZ40">
            <v>3.4590000000000001</v>
          </cell>
          <cell r="KA40">
            <v>0</v>
          </cell>
          <cell r="KB40">
            <v>0</v>
          </cell>
          <cell r="KC40">
            <v>3</v>
          </cell>
          <cell r="KD40">
            <v>0</v>
          </cell>
          <cell r="KE40">
            <v>3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>
            <v>0</v>
          </cell>
          <cell r="LR40">
            <v>0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0</v>
          </cell>
          <cell r="OM40">
            <v>0</v>
          </cell>
          <cell r="ON40">
            <v>0</v>
          </cell>
          <cell r="OO40">
            <v>0</v>
          </cell>
          <cell r="OP40">
            <v>0</v>
          </cell>
          <cell r="OR40">
            <v>0</v>
          </cell>
          <cell r="OT40">
            <v>2031.6875938646697</v>
          </cell>
        </row>
        <row r="41">
          <cell r="A41" t="str">
            <v>Г</v>
          </cell>
          <cell r="B41" t="str">
            <v>1.1.3.2</v>
          </cell>
          <cell r="C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852.29004287199996</v>
          </cell>
          <cell r="K41">
            <v>0</v>
          </cell>
          <cell r="L41">
            <v>852.29004287199996</v>
          </cell>
          <cell r="M41">
            <v>0</v>
          </cell>
          <cell r="N41">
            <v>0</v>
          </cell>
          <cell r="O41">
            <v>75.508838269152477</v>
          </cell>
          <cell r="P41">
            <v>178.17639041999999</v>
          </cell>
          <cell r="Q41">
            <v>598.60481432284746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3812.2178934788185</v>
          </cell>
          <cell r="CY41">
            <v>572.7289210797162</v>
          </cell>
          <cell r="CZ41">
            <v>1552.4358180467182</v>
          </cell>
          <cell r="DA41">
            <v>1396.6332410204841</v>
          </cell>
          <cell r="DB41">
            <v>351.73938608438334</v>
          </cell>
          <cell r="DE41">
            <v>0</v>
          </cell>
          <cell r="DG41">
            <v>606.57616354999993</v>
          </cell>
          <cell r="DH41">
            <v>0</v>
          </cell>
          <cell r="DI41">
            <v>606.57616354999993</v>
          </cell>
          <cell r="DJ41">
            <v>38.906113530000006</v>
          </cell>
          <cell r="DK41">
            <v>197.33895278</v>
          </cell>
          <cell r="DL41">
            <v>344.75768944999993</v>
          </cell>
          <cell r="DM41">
            <v>25.573407790000001</v>
          </cell>
          <cell r="DN41">
            <v>277.00832313952753</v>
          </cell>
          <cell r="DS41">
            <v>142.68802315457594</v>
          </cell>
          <cell r="DT41">
            <v>56.493174655273869</v>
          </cell>
          <cell r="DU41">
            <v>49.232590688265262</v>
          </cell>
          <cell r="DV41">
            <v>28.594534641412469</v>
          </cell>
          <cell r="DW41">
            <v>49.232590688265262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870.93788626000003</v>
          </cell>
          <cell r="ED41">
            <v>346.03663713000003</v>
          </cell>
          <cell r="EE41">
            <v>488.22764986999994</v>
          </cell>
          <cell r="EF41">
            <v>24.389055679999998</v>
          </cell>
          <cell r="EG41">
            <v>12.284543580000001</v>
          </cell>
          <cell r="EH41">
            <v>323.89559782000003</v>
          </cell>
          <cell r="EI41">
            <v>224.59279934</v>
          </cell>
          <cell r="EJ41">
            <v>95.952902250000008</v>
          </cell>
          <cell r="EK41">
            <v>0</v>
          </cell>
          <cell r="EL41">
            <v>3.3498962299999997</v>
          </cell>
          <cell r="EM41">
            <v>547.04228843999999</v>
          </cell>
          <cell r="EN41">
            <v>121.44383779</v>
          </cell>
          <cell r="EO41">
            <v>392.27474761999997</v>
          </cell>
          <cell r="EP41">
            <v>24.389055679999998</v>
          </cell>
          <cell r="EQ41">
            <v>8.9346473500000005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3102.5564480438834</v>
          </cell>
          <cell r="FO41">
            <v>0</v>
          </cell>
          <cell r="FP41">
            <v>175.58</v>
          </cell>
          <cell r="FQ41">
            <v>0</v>
          </cell>
          <cell r="FR41">
            <v>697.62100000000009</v>
          </cell>
          <cell r="FS41">
            <v>695.62100000000009</v>
          </cell>
          <cell r="FT41">
            <v>2</v>
          </cell>
          <cell r="FU41">
            <v>0</v>
          </cell>
          <cell r="FV41">
            <v>162</v>
          </cell>
          <cell r="FW41">
            <v>0</v>
          </cell>
          <cell r="FX41">
            <v>162</v>
          </cell>
          <cell r="FZ41">
            <v>604.26295830000004</v>
          </cell>
          <cell r="GA41">
            <v>0</v>
          </cell>
          <cell r="GB41">
            <v>10.842000000000002</v>
          </cell>
          <cell r="GC41">
            <v>0</v>
          </cell>
          <cell r="GD41">
            <v>18.175000000000001</v>
          </cell>
          <cell r="GE41">
            <v>18.175000000000001</v>
          </cell>
          <cell r="GF41">
            <v>0</v>
          </cell>
          <cell r="GG41">
            <v>0</v>
          </cell>
          <cell r="GH41">
            <v>112</v>
          </cell>
          <cell r="GI41">
            <v>0</v>
          </cell>
          <cell r="GJ41">
            <v>112</v>
          </cell>
          <cell r="GK41">
            <v>514.82344348999948</v>
          </cell>
          <cell r="GL41">
            <v>0</v>
          </cell>
          <cell r="GM41">
            <v>0</v>
          </cell>
          <cell r="GN41">
            <v>0</v>
          </cell>
          <cell r="GO41">
            <v>59.307000000000002</v>
          </cell>
          <cell r="GP41">
            <v>59.307000000000002</v>
          </cell>
          <cell r="GQ41">
            <v>0</v>
          </cell>
          <cell r="GR41">
            <v>0</v>
          </cell>
          <cell r="GS41">
            <v>1</v>
          </cell>
          <cell r="GT41">
            <v>0</v>
          </cell>
          <cell r="GU41">
            <v>1</v>
          </cell>
          <cell r="GV41">
            <v>475.62674384858701</v>
          </cell>
          <cell r="GW41">
            <v>0</v>
          </cell>
          <cell r="GX41">
            <v>0</v>
          </cell>
          <cell r="GY41">
            <v>0</v>
          </cell>
          <cell r="GZ41">
            <v>53</v>
          </cell>
          <cell r="HA41">
            <v>53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39.196699641412465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6.3069999999999995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104.98333589000001</v>
          </cell>
          <cell r="IZ41">
            <v>0</v>
          </cell>
          <cell r="JA41">
            <v>0</v>
          </cell>
          <cell r="JB41">
            <v>0</v>
          </cell>
          <cell r="JC41">
            <v>4.1915000000000004</v>
          </cell>
          <cell r="JD41">
            <v>4.1915000000000004</v>
          </cell>
          <cell r="JE41">
            <v>0</v>
          </cell>
          <cell r="JF41">
            <v>0</v>
          </cell>
          <cell r="JG41">
            <v>3</v>
          </cell>
          <cell r="JH41">
            <v>0</v>
          </cell>
          <cell r="JI41">
            <v>3</v>
          </cell>
          <cell r="JJ41">
            <v>2.0477729099999999</v>
          </cell>
          <cell r="JK41">
            <v>0</v>
          </cell>
          <cell r="JL41">
            <v>0</v>
          </cell>
          <cell r="JM41">
            <v>0</v>
          </cell>
          <cell r="JN41">
            <v>0.73250000000000004</v>
          </cell>
          <cell r="JO41">
            <v>0.73250000000000004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102.93556298</v>
          </cell>
          <cell r="JV41">
            <v>0</v>
          </cell>
          <cell r="JW41">
            <v>0</v>
          </cell>
          <cell r="JX41">
            <v>0</v>
          </cell>
          <cell r="JY41">
            <v>3.4590000000000001</v>
          </cell>
          <cell r="JZ41">
            <v>3.4590000000000001</v>
          </cell>
          <cell r="KA41">
            <v>0</v>
          </cell>
          <cell r="KB41">
            <v>0</v>
          </cell>
          <cell r="KC41">
            <v>3</v>
          </cell>
          <cell r="KD41">
            <v>0</v>
          </cell>
          <cell r="KE41">
            <v>3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0</v>
          </cell>
          <cell r="OM41">
            <v>0</v>
          </cell>
          <cell r="ON41">
            <v>0</v>
          </cell>
          <cell r="OO41">
            <v>0</v>
          </cell>
          <cell r="OP41">
            <v>0</v>
          </cell>
          <cell r="OR41">
            <v>0</v>
          </cell>
          <cell r="OT41">
            <v>2031.6875938646697</v>
          </cell>
        </row>
        <row r="42">
          <cell r="A42" t="str">
            <v>Г</v>
          </cell>
          <cell r="B42" t="str">
            <v>1.1.3.2</v>
          </cell>
          <cell r="C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2" t="str">
            <v>Г</v>
          </cell>
          <cell r="E42">
            <v>0</v>
          </cell>
          <cell r="H42">
            <v>0</v>
          </cell>
          <cell r="J42">
            <v>852.29004287199996</v>
          </cell>
          <cell r="K42">
            <v>0</v>
          </cell>
          <cell r="L42">
            <v>852.29004287199996</v>
          </cell>
          <cell r="M42">
            <v>0</v>
          </cell>
          <cell r="N42">
            <v>0</v>
          </cell>
          <cell r="O42">
            <v>75.508838269152477</v>
          </cell>
          <cell r="P42">
            <v>178.17639041999999</v>
          </cell>
          <cell r="Q42">
            <v>598.60481432284746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3812.2178934788185</v>
          </cell>
          <cell r="CY42">
            <v>572.7289210797162</v>
          </cell>
          <cell r="CZ42">
            <v>1552.4358180467182</v>
          </cell>
          <cell r="DA42">
            <v>1396.6332410204841</v>
          </cell>
          <cell r="DB42">
            <v>351.73938608438334</v>
          </cell>
          <cell r="DE42">
            <v>0</v>
          </cell>
          <cell r="DG42">
            <v>606.57616354999993</v>
          </cell>
          <cell r="DH42">
            <v>0</v>
          </cell>
          <cell r="DI42">
            <v>606.57616354999993</v>
          </cell>
          <cell r="DJ42">
            <v>38.906113530000006</v>
          </cell>
          <cell r="DK42">
            <v>197.33895278</v>
          </cell>
          <cell r="DL42">
            <v>344.75768944999993</v>
          </cell>
          <cell r="DM42">
            <v>25.573407790000001</v>
          </cell>
          <cell r="DN42">
            <v>277.00832313952753</v>
          </cell>
          <cell r="DS42">
            <v>142.68802315457594</v>
          </cell>
          <cell r="DT42">
            <v>56.493174655273869</v>
          </cell>
          <cell r="DU42">
            <v>49.232590688265262</v>
          </cell>
          <cell r="DV42">
            <v>28.594534641412469</v>
          </cell>
          <cell r="DW42">
            <v>49.232590688265262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870.93788626000003</v>
          </cell>
          <cell r="ED42">
            <v>346.03663713000003</v>
          </cell>
          <cell r="EE42">
            <v>488.22764986999994</v>
          </cell>
          <cell r="EF42">
            <v>24.389055679999998</v>
          </cell>
          <cell r="EG42">
            <v>12.284543580000001</v>
          </cell>
          <cell r="EH42">
            <v>323.89559782000003</v>
          </cell>
          <cell r="EI42">
            <v>224.59279934</v>
          </cell>
          <cell r="EJ42">
            <v>95.952902250000008</v>
          </cell>
          <cell r="EK42">
            <v>0</v>
          </cell>
          <cell r="EL42">
            <v>3.3498962299999997</v>
          </cell>
          <cell r="EM42">
            <v>547.04228843999999</v>
          </cell>
          <cell r="EN42">
            <v>121.44383779</v>
          </cell>
          <cell r="EO42">
            <v>392.27474761999997</v>
          </cell>
          <cell r="EP42">
            <v>24.389055679999998</v>
          </cell>
          <cell r="EQ42">
            <v>8.9346473500000005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3102.5564480438834</v>
          </cell>
          <cell r="FO42">
            <v>0</v>
          </cell>
          <cell r="FP42">
            <v>175.58</v>
          </cell>
          <cell r="FQ42">
            <v>0</v>
          </cell>
          <cell r="FR42">
            <v>697.62100000000009</v>
          </cell>
          <cell r="FS42">
            <v>695.62100000000009</v>
          </cell>
          <cell r="FT42">
            <v>2</v>
          </cell>
          <cell r="FU42">
            <v>0</v>
          </cell>
          <cell r="FV42">
            <v>162</v>
          </cell>
          <cell r="FW42">
            <v>0</v>
          </cell>
          <cell r="FX42">
            <v>162</v>
          </cell>
          <cell r="FZ42">
            <v>604.26295830000004</v>
          </cell>
          <cell r="GA42">
            <v>0</v>
          </cell>
          <cell r="GB42">
            <v>10.842000000000002</v>
          </cell>
          <cell r="GC42">
            <v>0</v>
          </cell>
          <cell r="GD42">
            <v>18.175000000000001</v>
          </cell>
          <cell r="GE42">
            <v>18.175000000000001</v>
          </cell>
          <cell r="GF42">
            <v>0</v>
          </cell>
          <cell r="GG42">
            <v>0</v>
          </cell>
          <cell r="GH42">
            <v>112</v>
          </cell>
          <cell r="GI42">
            <v>0</v>
          </cell>
          <cell r="GJ42">
            <v>112</v>
          </cell>
          <cell r="GK42">
            <v>514.82344348999948</v>
          </cell>
          <cell r="GL42">
            <v>0</v>
          </cell>
          <cell r="GM42">
            <v>0</v>
          </cell>
          <cell r="GN42">
            <v>0</v>
          </cell>
          <cell r="GO42">
            <v>59.307000000000002</v>
          </cell>
          <cell r="GP42">
            <v>59.307000000000002</v>
          </cell>
          <cell r="GQ42">
            <v>0</v>
          </cell>
          <cell r="GR42">
            <v>0</v>
          </cell>
          <cell r="GS42">
            <v>1</v>
          </cell>
          <cell r="GT42">
            <v>0</v>
          </cell>
          <cell r="GU42">
            <v>1</v>
          </cell>
          <cell r="GV42">
            <v>475.62674384858701</v>
          </cell>
          <cell r="GW42">
            <v>0</v>
          </cell>
          <cell r="GX42">
            <v>0</v>
          </cell>
          <cell r="GY42">
            <v>0</v>
          </cell>
          <cell r="GZ42">
            <v>53</v>
          </cell>
          <cell r="HA42">
            <v>53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39.196699641412465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6.3069999999999995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104.98333589000001</v>
          </cell>
          <cell r="IZ42">
            <v>0</v>
          </cell>
          <cell r="JA42">
            <v>0</v>
          </cell>
          <cell r="JB42">
            <v>0</v>
          </cell>
          <cell r="JC42">
            <v>4.1915000000000004</v>
          </cell>
          <cell r="JD42">
            <v>4.1915000000000004</v>
          </cell>
          <cell r="JE42">
            <v>0</v>
          </cell>
          <cell r="JF42">
            <v>0</v>
          </cell>
          <cell r="JG42">
            <v>3</v>
          </cell>
          <cell r="JH42">
            <v>0</v>
          </cell>
          <cell r="JI42">
            <v>3</v>
          </cell>
          <cell r="JJ42">
            <v>2.0477729099999999</v>
          </cell>
          <cell r="JK42">
            <v>0</v>
          </cell>
          <cell r="JL42">
            <v>0</v>
          </cell>
          <cell r="JM42">
            <v>0</v>
          </cell>
          <cell r="JN42">
            <v>0.73250000000000004</v>
          </cell>
          <cell r="JO42">
            <v>0.73250000000000004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102.93556298</v>
          </cell>
          <cell r="JV42">
            <v>0</v>
          </cell>
          <cell r="JW42">
            <v>0</v>
          </cell>
          <cell r="JX42">
            <v>0</v>
          </cell>
          <cell r="JY42">
            <v>3.4590000000000001</v>
          </cell>
          <cell r="JZ42">
            <v>3.4590000000000001</v>
          </cell>
          <cell r="KA42">
            <v>0</v>
          </cell>
          <cell r="KB42">
            <v>0</v>
          </cell>
          <cell r="KC42">
            <v>3</v>
          </cell>
          <cell r="KD42">
            <v>0</v>
          </cell>
          <cell r="KE42">
            <v>3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0</v>
          </cell>
          <cell r="OR42">
            <v>0</v>
          </cell>
          <cell r="OT42">
            <v>2031.6875938646697</v>
          </cell>
        </row>
        <row r="43">
          <cell r="A43" t="str">
            <v>Г</v>
          </cell>
          <cell r="B43" t="str">
            <v>1.1.3.2</v>
          </cell>
          <cell r="C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870.93788626000003</v>
          </cell>
          <cell r="ED43">
            <v>346.03663713000003</v>
          </cell>
          <cell r="EE43">
            <v>488.22764986999994</v>
          </cell>
          <cell r="EF43">
            <v>24.389055679999998</v>
          </cell>
          <cell r="EG43">
            <v>12.284543580000001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104.98333589000001</v>
          </cell>
          <cell r="IZ43">
            <v>0</v>
          </cell>
          <cell r="JA43">
            <v>0</v>
          </cell>
          <cell r="JB43">
            <v>0</v>
          </cell>
          <cell r="JC43">
            <v>4.1915000000000004</v>
          </cell>
          <cell r="JD43">
            <v>4.1915000000000004</v>
          </cell>
          <cell r="JE43">
            <v>0</v>
          </cell>
          <cell r="JF43">
            <v>0</v>
          </cell>
          <cell r="JG43">
            <v>3</v>
          </cell>
          <cell r="JH43">
            <v>0</v>
          </cell>
          <cell r="JI43">
            <v>3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2031.6875938646697</v>
          </cell>
        </row>
        <row r="44">
          <cell r="A44" t="str">
            <v>Г</v>
          </cell>
          <cell r="B44" t="str">
            <v>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68.135675169496778</v>
          </cell>
          <cell r="H44">
            <v>0.71055469999999987</v>
          </cell>
          <cell r="J44">
            <v>919.71516334149669</v>
          </cell>
          <cell r="K44">
            <v>67.425120469496775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67.347628944073051</v>
          </cell>
          <cell r="S44">
            <v>0</v>
          </cell>
          <cell r="T44">
            <v>0</v>
          </cell>
          <cell r="U44">
            <v>57.074261817011063</v>
          </cell>
          <cell r="V44">
            <v>0</v>
          </cell>
          <cell r="W44">
            <v>10.273367127061984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46.294457012153003</v>
          </cell>
          <cell r="AK44">
            <v>0</v>
          </cell>
          <cell r="AL44">
            <v>0</v>
          </cell>
          <cell r="AM44">
            <v>39.232590688265262</v>
          </cell>
          <cell r="AN44">
            <v>0</v>
          </cell>
          <cell r="AO44">
            <v>7.0618663238877417</v>
          </cell>
          <cell r="AP44">
            <v>21.053171931920044</v>
          </cell>
          <cell r="AQ44">
            <v>0</v>
          </cell>
          <cell r="AR44">
            <v>0</v>
          </cell>
          <cell r="AS44">
            <v>17.841671128745801</v>
          </cell>
          <cell r="AT44">
            <v>0</v>
          </cell>
          <cell r="AU44">
            <v>3.2115008031742427</v>
          </cell>
          <cell r="AV44">
            <v>46.294457012153003</v>
          </cell>
          <cell r="AW44">
            <v>0</v>
          </cell>
          <cell r="AX44">
            <v>0</v>
          </cell>
          <cell r="AY44">
            <v>39.232590688265262</v>
          </cell>
          <cell r="AZ44">
            <v>0</v>
          </cell>
          <cell r="BA44">
            <v>7.0618663238877417</v>
          </cell>
          <cell r="BB44" t="str">
            <v/>
          </cell>
          <cell r="BC44" t="str">
            <v/>
          </cell>
          <cell r="BD44">
            <v>3</v>
          </cell>
          <cell r="BE44">
            <v>4</v>
          </cell>
          <cell r="BF44" t="str">
            <v>3 4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0.66252877999999993</v>
          </cell>
          <cell r="DG44">
            <v>663.71500163819746</v>
          </cell>
          <cell r="DH44">
            <v>57.138838088197502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>
            <v>2</v>
          </cell>
          <cell r="DZ44" t="str">
            <v/>
          </cell>
          <cell r="EA44" t="str">
            <v/>
          </cell>
          <cell r="EB44" t="str">
            <v>2</v>
          </cell>
          <cell r="EC44">
            <v>870.93788626000003</v>
          </cell>
          <cell r="ED44">
            <v>346.03663713000003</v>
          </cell>
          <cell r="EE44">
            <v>488.22764986999994</v>
          </cell>
          <cell r="EF44">
            <v>24.389055679999998</v>
          </cell>
          <cell r="EG44">
            <v>12.284543580000001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>
            <v>2</v>
          </cell>
          <cell r="FI44">
            <v>3</v>
          </cell>
          <cell r="FJ44">
            <v>4</v>
          </cell>
          <cell r="FK44" t="str">
            <v>2 3 4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104.98333589000001</v>
          </cell>
          <cell r="IZ44">
            <v>0</v>
          </cell>
          <cell r="JA44">
            <v>0</v>
          </cell>
          <cell r="JB44">
            <v>0</v>
          </cell>
          <cell r="JC44">
            <v>4.1915000000000004</v>
          </cell>
          <cell r="JD44">
            <v>4.1915000000000004</v>
          </cell>
          <cell r="JE44">
            <v>0</v>
          </cell>
          <cell r="JF44">
            <v>0</v>
          </cell>
          <cell r="JG44">
            <v>3</v>
          </cell>
          <cell r="JH44">
            <v>0</v>
          </cell>
          <cell r="JI44">
            <v>3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2031.6875938646697</v>
          </cell>
        </row>
        <row r="45">
          <cell r="A45" t="str">
            <v>Г</v>
          </cell>
          <cell r="B45" t="str">
            <v>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870.93788626000003</v>
          </cell>
          <cell r="ED45">
            <v>346.03663713000003</v>
          </cell>
          <cell r="EE45">
            <v>488.22764986999994</v>
          </cell>
          <cell r="EF45">
            <v>24.389055679999998</v>
          </cell>
          <cell r="EG45">
            <v>12.284543580000001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104.98333589000001</v>
          </cell>
          <cell r="IZ45">
            <v>0</v>
          </cell>
          <cell r="JA45">
            <v>0</v>
          </cell>
          <cell r="JB45">
            <v>0</v>
          </cell>
          <cell r="JC45">
            <v>4.1915000000000004</v>
          </cell>
          <cell r="JD45">
            <v>4.1915000000000004</v>
          </cell>
          <cell r="JE45">
            <v>0</v>
          </cell>
          <cell r="JF45">
            <v>0</v>
          </cell>
          <cell r="JG45">
            <v>3</v>
          </cell>
          <cell r="JH45">
            <v>0</v>
          </cell>
          <cell r="JI45">
            <v>3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2031.6875938646697</v>
          </cell>
        </row>
        <row r="46">
          <cell r="A46" t="str">
            <v>Г</v>
          </cell>
          <cell r="B46" t="str">
            <v>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6" t="str">
            <v>Г</v>
          </cell>
          <cell r="E46">
            <v>68.135675169496778</v>
          </cell>
          <cell r="H46">
            <v>0.71055469999999987</v>
          </cell>
          <cell r="J46">
            <v>919.71516334149669</v>
          </cell>
          <cell r="K46">
            <v>67.425120469496775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67.347628944073051</v>
          </cell>
          <cell r="S46">
            <v>0</v>
          </cell>
          <cell r="T46">
            <v>0</v>
          </cell>
          <cell r="U46">
            <v>57.074261817011063</v>
          </cell>
          <cell r="V46">
            <v>0</v>
          </cell>
          <cell r="W46">
            <v>10.273367127061984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46.294457012153003</v>
          </cell>
          <cell r="AK46">
            <v>0</v>
          </cell>
          <cell r="AL46">
            <v>0</v>
          </cell>
          <cell r="AM46">
            <v>39.232590688265262</v>
          </cell>
          <cell r="AN46">
            <v>0</v>
          </cell>
          <cell r="AO46">
            <v>7.0618663238877417</v>
          </cell>
          <cell r="AP46">
            <v>21.053171931920044</v>
          </cell>
          <cell r="AQ46">
            <v>0</v>
          </cell>
          <cell r="AR46">
            <v>0</v>
          </cell>
          <cell r="AS46">
            <v>17.841671128745801</v>
          </cell>
          <cell r="AT46">
            <v>0</v>
          </cell>
          <cell r="AU46">
            <v>3.2115008031742427</v>
          </cell>
          <cell r="AV46">
            <v>46.294457012153003</v>
          </cell>
          <cell r="AW46">
            <v>0</v>
          </cell>
          <cell r="AX46">
            <v>0</v>
          </cell>
          <cell r="AY46">
            <v>39.232590688265262</v>
          </cell>
          <cell r="AZ46">
            <v>0</v>
          </cell>
          <cell r="BA46">
            <v>7.0618663238877417</v>
          </cell>
          <cell r="BB46" t="str">
            <v/>
          </cell>
          <cell r="BC46" t="str">
            <v/>
          </cell>
          <cell r="BD46">
            <v>3</v>
          </cell>
          <cell r="BE46">
            <v>4</v>
          </cell>
          <cell r="BF46" t="str">
            <v>3 4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0.66252877999999993</v>
          </cell>
          <cell r="DG46">
            <v>663.71500163819746</v>
          </cell>
          <cell r="DH46">
            <v>57.138838088197502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>
            <v>2</v>
          </cell>
          <cell r="DZ46" t="str">
            <v/>
          </cell>
          <cell r="EA46" t="str">
            <v/>
          </cell>
          <cell r="EB46" t="str">
            <v>2</v>
          </cell>
          <cell r="EC46">
            <v>870.93788626000003</v>
          </cell>
          <cell r="ED46">
            <v>346.03663713000003</v>
          </cell>
          <cell r="EE46">
            <v>488.22764986999994</v>
          </cell>
          <cell r="EF46">
            <v>24.389055679999998</v>
          </cell>
          <cell r="EG46">
            <v>12.284543580000001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>
            <v>2</v>
          </cell>
          <cell r="FI46">
            <v>3</v>
          </cell>
          <cell r="FJ46">
            <v>4</v>
          </cell>
          <cell r="FK46" t="str">
            <v>2 3 4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104.98333589000001</v>
          </cell>
          <cell r="IZ46">
            <v>0</v>
          </cell>
          <cell r="JA46">
            <v>0</v>
          </cell>
          <cell r="JB46">
            <v>0</v>
          </cell>
          <cell r="JC46">
            <v>4.1915000000000004</v>
          </cell>
          <cell r="JD46">
            <v>4.1915000000000004</v>
          </cell>
          <cell r="JE46">
            <v>0</v>
          </cell>
          <cell r="JF46">
            <v>0</v>
          </cell>
          <cell r="JG46">
            <v>3</v>
          </cell>
          <cell r="JH46">
            <v>0</v>
          </cell>
          <cell r="JI46">
            <v>3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2031.6875938646697</v>
          </cell>
        </row>
        <row r="47">
          <cell r="A47" t="str">
            <v>G_Che18</v>
          </cell>
          <cell r="B47" t="str">
            <v>1.1.4.2</v>
          </cell>
          <cell r="C47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47" t="str">
            <v>G_Che18</v>
          </cell>
          <cell r="E47">
            <v>21.763726631920044</v>
          </cell>
          <cell r="H47">
            <v>0.71055469999999987</v>
          </cell>
          <cell r="J47">
            <v>21.053171931920044</v>
          </cell>
          <cell r="K47">
            <v>21.053171931920044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21.053171931920044</v>
          </cell>
          <cell r="S47">
            <v>0</v>
          </cell>
          <cell r="T47">
            <v>0</v>
          </cell>
          <cell r="U47">
            <v>17.841671128745801</v>
          </cell>
          <cell r="V47">
            <v>0</v>
          </cell>
          <cell r="W47">
            <v>3.2115008031742427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 t="str">
            <v/>
          </cell>
          <cell r="BC47" t="str">
            <v/>
          </cell>
          <cell r="BD47" t="str">
            <v/>
          </cell>
          <cell r="BE47">
            <v>4</v>
          </cell>
          <cell r="BF47" t="str">
            <v>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18.443836128745801</v>
          </cell>
          <cell r="CY47">
            <v>0.60216499999999995</v>
          </cell>
          <cell r="CZ47">
            <v>4.4547850000000002</v>
          </cell>
          <cell r="DA47">
            <v>12.473398</v>
          </cell>
          <cell r="DB47">
            <v>0.91348812874580221</v>
          </cell>
          <cell r="DE47">
            <v>0.60216499999999995</v>
          </cell>
          <cell r="DG47">
            <v>17.841671128745801</v>
          </cell>
          <cell r="DH47">
            <v>17.841671128745801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17.841671128745801</v>
          </cell>
          <cell r="DS47">
            <v>0</v>
          </cell>
          <cell r="DT47">
            <v>0</v>
          </cell>
          <cell r="DU47">
            <v>0</v>
          </cell>
          <cell r="DV47">
            <v>17.841671128745801</v>
          </cell>
          <cell r="DW47">
            <v>0</v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 t="str">
            <v/>
          </cell>
          <cell r="FH47" t="str">
            <v/>
          </cell>
          <cell r="FI47">
            <v>3</v>
          </cell>
          <cell r="FJ47">
            <v>4</v>
          </cell>
          <cell r="FK47" t="str">
            <v>3 4</v>
          </cell>
          <cell r="FN47">
            <v>18.443836128745801</v>
          </cell>
          <cell r="FO47">
            <v>0</v>
          </cell>
          <cell r="FP47">
            <v>0</v>
          </cell>
          <cell r="FQ47">
            <v>0</v>
          </cell>
          <cell r="FR47">
            <v>1.399</v>
          </cell>
          <cell r="FS47">
            <v>1.399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18.443836128745801</v>
          </cell>
          <cell r="GL47">
            <v>0</v>
          </cell>
          <cell r="GM47">
            <v>0</v>
          </cell>
          <cell r="GN47">
            <v>0</v>
          </cell>
          <cell r="GO47">
            <v>1.399</v>
          </cell>
          <cell r="GP47">
            <v>1.399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18.443836128745801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1.399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2015</v>
          </cell>
          <cell r="OM47">
            <v>2019</v>
          </cell>
          <cell r="ON47">
            <v>2019</v>
          </cell>
          <cell r="OO47">
            <v>2019</v>
          </cell>
          <cell r="OP47" t="str">
            <v>с</v>
          </cell>
          <cell r="OR47">
            <v>0</v>
          </cell>
          <cell r="OT47">
            <v>21.763726631920044</v>
          </cell>
        </row>
        <row r="48">
          <cell r="A48" t="str">
            <v>I_Che134</v>
          </cell>
          <cell r="B48" t="str">
            <v>1.1.4.2</v>
          </cell>
          <cell r="C48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48" t="str">
            <v>I_Che134</v>
          </cell>
          <cell r="E48">
            <v>3.8745762711864404E-2</v>
          </cell>
          <cell r="H48">
            <v>0</v>
          </cell>
          <cell r="J48">
            <v>3.8745762711864404E-2</v>
          </cell>
          <cell r="K48">
            <v>3.8745762711864404E-2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3.2288135593220336E-2</v>
          </cell>
          <cell r="CY48">
            <v>1.7790841386003853E-3</v>
          </cell>
          <cell r="CZ48">
            <v>7.9239802745452014E-3</v>
          </cell>
          <cell r="DA48">
            <v>1.4439308943598027E-2</v>
          </cell>
          <cell r="DB48">
            <v>8.1476257664726565E-3</v>
          </cell>
          <cell r="DE48">
            <v>3.0181889999999999E-2</v>
          </cell>
          <cell r="DG48">
            <v>3.2288135593220336E-2</v>
          </cell>
          <cell r="DH48">
            <v>3.2288135593220336E-2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 t="str">
            <v/>
          </cell>
          <cell r="DY48">
            <v>2</v>
          </cell>
          <cell r="DZ48" t="str">
            <v/>
          </cell>
          <cell r="EA48" t="str">
            <v/>
          </cell>
          <cell r="EB48" t="str">
            <v>2</v>
          </cell>
          <cell r="EC48">
            <v>3.0181889999999999E-2</v>
          </cell>
          <cell r="ED48">
            <v>0</v>
          </cell>
          <cell r="EE48">
            <v>8.5986000000000005E-4</v>
          </cell>
          <cell r="EF48">
            <v>2.9322029999999999E-2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3.0181889999999999E-2</v>
          </cell>
          <cell r="EN48">
            <v>0</v>
          </cell>
          <cell r="EO48">
            <v>8.5986000000000005E-4</v>
          </cell>
          <cell r="EP48">
            <v>2.9322029999999999E-2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3.2288135593220336E-2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1</v>
          </cell>
          <cell r="FW48">
            <v>0</v>
          </cell>
          <cell r="FX48">
            <v>1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3.0181889999999999E-2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1</v>
          </cell>
          <cell r="JH48">
            <v>0</v>
          </cell>
          <cell r="JI48">
            <v>1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3.0181889999999999E-2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</v>
          </cell>
          <cell r="KD48">
            <v>0</v>
          </cell>
          <cell r="KE48">
            <v>1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2019</v>
          </cell>
          <cell r="OM48">
            <v>2019</v>
          </cell>
          <cell r="ON48">
            <v>2019</v>
          </cell>
          <cell r="OO48">
            <v>2019</v>
          </cell>
          <cell r="OP48" t="str">
            <v>п</v>
          </cell>
          <cell r="OR48">
            <v>0</v>
          </cell>
          <cell r="OT48">
            <v>3.8745762711864404E-2</v>
          </cell>
        </row>
        <row r="49">
          <cell r="A49" t="str">
            <v>I_Che135</v>
          </cell>
          <cell r="B49" t="str">
            <v>1.1.4.2</v>
          </cell>
          <cell r="C49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49" t="str">
            <v>I_Che135</v>
          </cell>
          <cell r="E49">
            <v>3.8745762711864404E-2</v>
          </cell>
          <cell r="H49">
            <v>0</v>
          </cell>
          <cell r="J49">
            <v>3.8745762711864404E-2</v>
          </cell>
          <cell r="K49">
            <v>3.8745762711864404E-2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3.2288135593220336E-2</v>
          </cell>
          <cell r="CY49">
            <v>1.7790841386003853E-3</v>
          </cell>
          <cell r="CZ49">
            <v>7.9239802745452014E-3</v>
          </cell>
          <cell r="DA49">
            <v>1.4439308943598027E-2</v>
          </cell>
          <cell r="DB49">
            <v>8.1476257664726565E-3</v>
          </cell>
          <cell r="DE49">
            <v>3.0181889999999999E-2</v>
          </cell>
          <cell r="DG49">
            <v>3.2288135593220336E-2</v>
          </cell>
          <cell r="DH49">
            <v>3.2288135593220336E-2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3.0181889999999999E-2</v>
          </cell>
          <cell r="ED49">
            <v>0</v>
          </cell>
          <cell r="EE49">
            <v>8.5986000000000005E-4</v>
          </cell>
          <cell r="EF49">
            <v>2.9322029999999999E-2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3.0181889999999999E-2</v>
          </cell>
          <cell r="EN49">
            <v>0</v>
          </cell>
          <cell r="EO49">
            <v>8.5986000000000005E-4</v>
          </cell>
          <cell r="EP49">
            <v>2.9322029999999999E-2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>
            <v>0</v>
          </cell>
          <cell r="FN49">
            <v>3.2288135593220336E-2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1</v>
          </cell>
          <cell r="FW49">
            <v>0</v>
          </cell>
          <cell r="FX49">
            <v>1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3.0181889999999999E-2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1</v>
          </cell>
          <cell r="JH49">
            <v>0</v>
          </cell>
          <cell r="JI49">
            <v>1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3.0181889999999999E-2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</v>
          </cell>
          <cell r="KD49">
            <v>0</v>
          </cell>
          <cell r="KE49">
            <v>1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2019</v>
          </cell>
          <cell r="OM49">
            <v>2019</v>
          </cell>
          <cell r="ON49">
            <v>2019</v>
          </cell>
          <cell r="OO49">
            <v>2019</v>
          </cell>
          <cell r="OP49" t="str">
            <v>п</v>
          </cell>
          <cell r="OR49">
            <v>0</v>
          </cell>
          <cell r="OT49">
            <v>3.8745762711864404E-2</v>
          </cell>
        </row>
        <row r="50">
          <cell r="A50" t="str">
            <v>H_Che82</v>
          </cell>
          <cell r="B50" t="str">
            <v>1.1.4.2</v>
          </cell>
          <cell r="C50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0" t="str">
            <v>H_Che82</v>
          </cell>
          <cell r="E50">
            <v>23.147228506076502</v>
          </cell>
          <cell r="H50">
            <v>0</v>
          </cell>
          <cell r="J50">
            <v>23.147228506076502</v>
          </cell>
          <cell r="K50">
            <v>23.147228506076502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23.147228506076502</v>
          </cell>
          <cell r="S50">
            <v>0</v>
          </cell>
          <cell r="T50">
            <v>0</v>
          </cell>
          <cell r="U50">
            <v>19.616295344132631</v>
          </cell>
          <cell r="V50">
            <v>0</v>
          </cell>
          <cell r="W50">
            <v>3.5309331619438709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23.147228506076502</v>
          </cell>
          <cell r="AK50">
            <v>0</v>
          </cell>
          <cell r="AL50">
            <v>0</v>
          </cell>
          <cell r="AM50">
            <v>19.616295344132631</v>
          </cell>
          <cell r="AN50">
            <v>0</v>
          </cell>
          <cell r="AO50">
            <v>3.5309331619438709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23.147228506076502</v>
          </cell>
          <cell r="AW50">
            <v>0</v>
          </cell>
          <cell r="AX50">
            <v>0</v>
          </cell>
          <cell r="AY50">
            <v>19.616295344132631</v>
          </cell>
          <cell r="AZ50">
            <v>0</v>
          </cell>
          <cell r="BA50">
            <v>3.5309331619438709</v>
          </cell>
          <cell r="BB50" t="str">
            <v/>
          </cell>
          <cell r="BC50" t="str">
            <v/>
          </cell>
          <cell r="BD50">
            <v>3</v>
          </cell>
          <cell r="BE50" t="str">
            <v/>
          </cell>
          <cell r="BF50" t="str">
            <v>3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19.616295344132631</v>
          </cell>
          <cell r="CY50">
            <v>1.0071758044793</v>
          </cell>
          <cell r="CZ50">
            <v>4.5870611851938303</v>
          </cell>
          <cell r="DA50">
            <v>10.899099025478799</v>
          </cell>
          <cell r="DB50">
            <v>3.12295932898071</v>
          </cell>
          <cell r="DE50">
            <v>0</v>
          </cell>
          <cell r="DG50">
            <v>19.616295344132631</v>
          </cell>
          <cell r="DH50">
            <v>19.616295344132631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19.616295344132631</v>
          </cell>
          <cell r="DS50">
            <v>0</v>
          </cell>
          <cell r="DT50">
            <v>0</v>
          </cell>
          <cell r="DU50">
            <v>19.616295344132631</v>
          </cell>
          <cell r="DV50">
            <v>0</v>
          </cell>
          <cell r="DW50">
            <v>19.616295344132631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>
            <v>2</v>
          </cell>
          <cell r="FI50" t="str">
            <v/>
          </cell>
          <cell r="FJ50" t="str">
            <v/>
          </cell>
          <cell r="FK50" t="str">
            <v>2</v>
          </cell>
          <cell r="FN50">
            <v>19.616295344132631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1</v>
          </cell>
          <cell r="FW50">
            <v>0</v>
          </cell>
          <cell r="FX50">
            <v>1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2019</v>
          </cell>
          <cell r="OM50">
            <v>2020</v>
          </cell>
          <cell r="ON50">
            <v>2019</v>
          </cell>
          <cell r="OO50">
            <v>2020</v>
          </cell>
          <cell r="OP50" t="str">
            <v>п</v>
          </cell>
          <cell r="OR50">
            <v>0</v>
          </cell>
          <cell r="OT50">
            <v>23.147228506076502</v>
          </cell>
        </row>
        <row r="51">
          <cell r="A51" t="str">
            <v>H_Che83</v>
          </cell>
          <cell r="B51" t="str">
            <v>1.1.4.2</v>
          </cell>
          <cell r="C51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1" t="str">
            <v>H_Che83</v>
          </cell>
          <cell r="E51">
            <v>23.147228506076502</v>
          </cell>
          <cell r="H51">
            <v>0</v>
          </cell>
          <cell r="J51">
            <v>23.147228506076502</v>
          </cell>
          <cell r="K51">
            <v>23.147228506076502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23.147228506076502</v>
          </cell>
          <cell r="S51">
            <v>0</v>
          </cell>
          <cell r="T51">
            <v>0</v>
          </cell>
          <cell r="U51">
            <v>19.616295344132631</v>
          </cell>
          <cell r="V51">
            <v>0</v>
          </cell>
          <cell r="W51">
            <v>3.5309331619438709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23.147228506076502</v>
          </cell>
          <cell r="AK51">
            <v>0</v>
          </cell>
          <cell r="AL51">
            <v>0</v>
          </cell>
          <cell r="AM51">
            <v>19.616295344132631</v>
          </cell>
          <cell r="AN51">
            <v>0</v>
          </cell>
          <cell r="AO51">
            <v>3.5309331619438709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23.147228506076502</v>
          </cell>
          <cell r="AW51">
            <v>0</v>
          </cell>
          <cell r="AX51">
            <v>0</v>
          </cell>
          <cell r="AY51">
            <v>19.616295344132631</v>
          </cell>
          <cell r="AZ51">
            <v>0</v>
          </cell>
          <cell r="BA51">
            <v>3.5309331619438709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19.616295344132631</v>
          </cell>
          <cell r="CY51">
            <v>1.0071758044793</v>
          </cell>
          <cell r="CZ51">
            <v>4.5870611851938303</v>
          </cell>
          <cell r="DA51">
            <v>10.899099025478799</v>
          </cell>
          <cell r="DB51">
            <v>3.12295932898071</v>
          </cell>
          <cell r="DE51">
            <v>0</v>
          </cell>
          <cell r="DG51">
            <v>19.616295344132631</v>
          </cell>
          <cell r="DH51">
            <v>19.616295344132631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19.616295344132631</v>
          </cell>
          <cell r="DS51">
            <v>0</v>
          </cell>
          <cell r="DT51">
            <v>0</v>
          </cell>
          <cell r="DU51">
            <v>19.616295344132631</v>
          </cell>
          <cell r="DV51">
            <v>0</v>
          </cell>
          <cell r="DW51">
            <v>19.616295344132631</v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>
            <v>2</v>
          </cell>
          <cell r="FI51" t="str">
            <v/>
          </cell>
          <cell r="FJ51" t="str">
            <v/>
          </cell>
          <cell r="FK51" t="str">
            <v>2</v>
          </cell>
          <cell r="FN51">
            <v>19.616295344132631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2020</v>
          </cell>
          <cell r="ON51">
            <v>2019</v>
          </cell>
          <cell r="OO51">
            <v>2020</v>
          </cell>
          <cell r="OP51" t="str">
            <v>п</v>
          </cell>
          <cell r="OR51">
            <v>0</v>
          </cell>
          <cell r="OT51">
            <v>23.147228506076502</v>
          </cell>
        </row>
        <row r="52">
          <cell r="A52" t="str">
            <v>Г</v>
          </cell>
          <cell r="B52" t="str">
            <v>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12.33106106</v>
          </cell>
          <cell r="H52">
            <v>0</v>
          </cell>
          <cell r="J52">
            <v>864.62110393199998</v>
          </cell>
          <cell r="K52">
            <v>12.33106106</v>
          </cell>
          <cell r="L52">
            <v>852.29004287199996</v>
          </cell>
          <cell r="M52">
            <v>0</v>
          </cell>
          <cell r="N52">
            <v>0</v>
          </cell>
          <cell r="O52">
            <v>75.508838269152477</v>
          </cell>
          <cell r="P52">
            <v>178.17639041999999</v>
          </cell>
          <cell r="Q52">
            <v>598.60481432284746</v>
          </cell>
          <cell r="R52">
            <v>11.8</v>
          </cell>
          <cell r="S52">
            <v>0</v>
          </cell>
          <cell r="T52">
            <v>0</v>
          </cell>
          <cell r="U52">
            <v>10</v>
          </cell>
          <cell r="V52">
            <v>0</v>
          </cell>
          <cell r="W52">
            <v>1.8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11.8</v>
          </cell>
          <cell r="AQ52">
            <v>0</v>
          </cell>
          <cell r="AR52">
            <v>0</v>
          </cell>
          <cell r="AS52">
            <v>10</v>
          </cell>
          <cell r="AT52">
            <v>0</v>
          </cell>
          <cell r="AU52">
            <v>1.8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>
            <v>4</v>
          </cell>
          <cell r="BF52" t="str">
            <v>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3812.2178934788185</v>
          </cell>
          <cell r="CY52">
            <v>572.7289210797162</v>
          </cell>
          <cell r="CZ52">
            <v>1552.4358180467182</v>
          </cell>
          <cell r="DA52">
            <v>1396.6332410204841</v>
          </cell>
          <cell r="DB52">
            <v>351.73938608438334</v>
          </cell>
          <cell r="DE52">
            <v>0.44255088999999997</v>
          </cell>
          <cell r="DG52">
            <v>617.01871443999994</v>
          </cell>
          <cell r="DH52">
            <v>10.44255089</v>
          </cell>
          <cell r="DI52">
            <v>606.57616354999993</v>
          </cell>
          <cell r="DJ52">
            <v>38.906113530000006</v>
          </cell>
          <cell r="DK52">
            <v>197.33895278</v>
          </cell>
          <cell r="DL52">
            <v>344.75768944999993</v>
          </cell>
          <cell r="DM52">
            <v>25.573407790000001</v>
          </cell>
          <cell r="DN52">
            <v>277.00832313952753</v>
          </cell>
          <cell r="DS52">
            <v>142.68802315457594</v>
          </cell>
          <cell r="DT52">
            <v>56.493174655273869</v>
          </cell>
          <cell r="DU52">
            <v>49.232590688265262</v>
          </cell>
          <cell r="DV52">
            <v>28.594534641412469</v>
          </cell>
          <cell r="DW52">
            <v>49.232590688265262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870.93788626000003</v>
          </cell>
          <cell r="ED52">
            <v>346.03663713000003</v>
          </cell>
          <cell r="EE52">
            <v>488.22764986999994</v>
          </cell>
          <cell r="EF52">
            <v>24.389055679999998</v>
          </cell>
          <cell r="EG52">
            <v>12.284543580000001</v>
          </cell>
          <cell r="EH52">
            <v>323.89559782000003</v>
          </cell>
          <cell r="EI52">
            <v>224.59279934</v>
          </cell>
          <cell r="EJ52">
            <v>95.952902250000008</v>
          </cell>
          <cell r="EK52">
            <v>0</v>
          </cell>
          <cell r="EL52">
            <v>3.3498962299999997</v>
          </cell>
          <cell r="EM52">
            <v>547.04228843999999</v>
          </cell>
          <cell r="EN52">
            <v>121.44383779</v>
          </cell>
          <cell r="EO52">
            <v>392.27474761999997</v>
          </cell>
          <cell r="EP52">
            <v>24.389055679999998</v>
          </cell>
          <cell r="EQ52">
            <v>8.9346473500000005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>
            <v>2</v>
          </cell>
          <cell r="FI52" t="str">
            <v/>
          </cell>
          <cell r="FJ52" t="str">
            <v/>
          </cell>
          <cell r="FK52" t="str">
            <v>2</v>
          </cell>
          <cell r="FN52">
            <v>3102.5564480438834</v>
          </cell>
          <cell r="FO52">
            <v>0</v>
          </cell>
          <cell r="FP52">
            <v>175.58</v>
          </cell>
          <cell r="FQ52">
            <v>0</v>
          </cell>
          <cell r="FR52">
            <v>697.62100000000009</v>
          </cell>
          <cell r="FS52">
            <v>695.62100000000009</v>
          </cell>
          <cell r="FT52">
            <v>2</v>
          </cell>
          <cell r="FU52">
            <v>0</v>
          </cell>
          <cell r="FV52">
            <v>162</v>
          </cell>
          <cell r="FW52">
            <v>0</v>
          </cell>
          <cell r="FX52">
            <v>162</v>
          </cell>
          <cell r="FZ52">
            <v>604.26295830000004</v>
          </cell>
          <cell r="GA52">
            <v>0</v>
          </cell>
          <cell r="GB52">
            <v>10.842000000000002</v>
          </cell>
          <cell r="GC52">
            <v>0</v>
          </cell>
          <cell r="GD52">
            <v>18.175000000000001</v>
          </cell>
          <cell r="GE52">
            <v>18.175000000000001</v>
          </cell>
          <cell r="GF52">
            <v>0</v>
          </cell>
          <cell r="GG52">
            <v>0</v>
          </cell>
          <cell r="GH52">
            <v>112</v>
          </cell>
          <cell r="GI52">
            <v>0</v>
          </cell>
          <cell r="GJ52">
            <v>112</v>
          </cell>
          <cell r="GK52">
            <v>514.82344348999948</v>
          </cell>
          <cell r="GL52">
            <v>0</v>
          </cell>
          <cell r="GM52">
            <v>0</v>
          </cell>
          <cell r="GN52">
            <v>0</v>
          </cell>
          <cell r="GO52">
            <v>59.307000000000002</v>
          </cell>
          <cell r="GP52">
            <v>59.307000000000002</v>
          </cell>
          <cell r="GQ52">
            <v>0</v>
          </cell>
          <cell r="GR52">
            <v>0</v>
          </cell>
          <cell r="GS52">
            <v>1</v>
          </cell>
          <cell r="GT52">
            <v>0</v>
          </cell>
          <cell r="GU52">
            <v>1</v>
          </cell>
          <cell r="GV52">
            <v>475.62674384858701</v>
          </cell>
          <cell r="GW52">
            <v>0</v>
          </cell>
          <cell r="GX52">
            <v>0</v>
          </cell>
          <cell r="GY52">
            <v>0</v>
          </cell>
          <cell r="GZ52">
            <v>53</v>
          </cell>
          <cell r="HA52">
            <v>53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39.196699641412465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6.3069999999999995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104.98333589000001</v>
          </cell>
          <cell r="IZ52">
            <v>0</v>
          </cell>
          <cell r="JA52">
            <v>0</v>
          </cell>
          <cell r="JB52">
            <v>0</v>
          </cell>
          <cell r="JC52">
            <v>4.1915000000000004</v>
          </cell>
          <cell r="JD52">
            <v>4.1915000000000004</v>
          </cell>
          <cell r="JE52">
            <v>0</v>
          </cell>
          <cell r="JF52">
            <v>0</v>
          </cell>
          <cell r="JG52">
            <v>3</v>
          </cell>
          <cell r="JH52">
            <v>0</v>
          </cell>
          <cell r="JI52">
            <v>3</v>
          </cell>
          <cell r="JJ52">
            <v>2.0477729099999999</v>
          </cell>
          <cell r="JK52">
            <v>0</v>
          </cell>
          <cell r="JL52">
            <v>0</v>
          </cell>
          <cell r="JM52">
            <v>0</v>
          </cell>
          <cell r="JN52">
            <v>0.73250000000000004</v>
          </cell>
          <cell r="JO52">
            <v>0.73250000000000004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102.93556298</v>
          </cell>
          <cell r="JV52">
            <v>0</v>
          </cell>
          <cell r="JW52">
            <v>0</v>
          </cell>
          <cell r="JX52">
            <v>0</v>
          </cell>
          <cell r="JY52">
            <v>3.4590000000000001</v>
          </cell>
          <cell r="JZ52">
            <v>3.4590000000000001</v>
          </cell>
          <cell r="KA52">
            <v>0</v>
          </cell>
          <cell r="KB52">
            <v>0</v>
          </cell>
          <cell r="KC52">
            <v>3</v>
          </cell>
          <cell r="KD52">
            <v>0</v>
          </cell>
          <cell r="KE52">
            <v>3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R52">
            <v>0</v>
          </cell>
          <cell r="OT52">
            <v>2031.6875938646697</v>
          </cell>
        </row>
        <row r="53">
          <cell r="A53" t="str">
            <v>Г</v>
          </cell>
          <cell r="B53" t="str">
            <v>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3" t="str">
            <v>Г</v>
          </cell>
          <cell r="E53">
            <v>0.53106105999999997</v>
          </cell>
          <cell r="H53">
            <v>0</v>
          </cell>
          <cell r="J53">
            <v>852.82110393199991</v>
          </cell>
          <cell r="K53">
            <v>0.53106105999999997</v>
          </cell>
          <cell r="L53">
            <v>852.29004287199996</v>
          </cell>
          <cell r="M53">
            <v>0</v>
          </cell>
          <cell r="N53">
            <v>0</v>
          </cell>
          <cell r="O53">
            <v>75.508838269152477</v>
          </cell>
          <cell r="P53">
            <v>178.17639041999999</v>
          </cell>
          <cell r="Q53">
            <v>598.60481432284746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3812.2178934788185</v>
          </cell>
          <cell r="CY53">
            <v>572.7289210797162</v>
          </cell>
          <cell r="CZ53">
            <v>1552.4358180467182</v>
          </cell>
          <cell r="DA53">
            <v>1396.6332410204841</v>
          </cell>
          <cell r="DB53">
            <v>351.73938608438334</v>
          </cell>
          <cell r="DE53">
            <v>0.44255088999999997</v>
          </cell>
          <cell r="DG53">
            <v>607.01871443999994</v>
          </cell>
          <cell r="DH53">
            <v>0.44255088999999997</v>
          </cell>
          <cell r="DI53">
            <v>606.57616354999993</v>
          </cell>
          <cell r="DJ53">
            <v>38.906113530000006</v>
          </cell>
          <cell r="DK53">
            <v>197.33895278</v>
          </cell>
          <cell r="DL53">
            <v>344.75768944999993</v>
          </cell>
          <cell r="DM53">
            <v>25.573407790000001</v>
          </cell>
          <cell r="DN53">
            <v>277.00832313952753</v>
          </cell>
          <cell r="DS53">
            <v>142.68802315457594</v>
          </cell>
          <cell r="DT53">
            <v>56.493174655273869</v>
          </cell>
          <cell r="DU53">
            <v>49.232590688265262</v>
          </cell>
          <cell r="DV53">
            <v>28.594534641412469</v>
          </cell>
          <cell r="DW53">
            <v>49.232590688265262</v>
          </cell>
          <cell r="DX53" t="str">
            <v/>
          </cell>
          <cell r="DY53">
            <v>2</v>
          </cell>
          <cell r="DZ53" t="str">
            <v/>
          </cell>
          <cell r="EA53" t="str">
            <v/>
          </cell>
          <cell r="EB53" t="str">
            <v>2</v>
          </cell>
          <cell r="EC53">
            <v>870.93788626000003</v>
          </cell>
          <cell r="ED53">
            <v>346.03663713000003</v>
          </cell>
          <cell r="EE53">
            <v>488.22764986999994</v>
          </cell>
          <cell r="EF53">
            <v>24.389055679999998</v>
          </cell>
          <cell r="EG53">
            <v>12.284543580000001</v>
          </cell>
          <cell r="EH53">
            <v>323.89559782000003</v>
          </cell>
          <cell r="EI53">
            <v>224.59279934</v>
          </cell>
          <cell r="EJ53">
            <v>95.952902250000008</v>
          </cell>
          <cell r="EK53">
            <v>0</v>
          </cell>
          <cell r="EL53">
            <v>3.3498962299999997</v>
          </cell>
          <cell r="EM53">
            <v>547.04228843999999</v>
          </cell>
          <cell r="EN53">
            <v>121.44383779</v>
          </cell>
          <cell r="EO53">
            <v>392.27474761999997</v>
          </cell>
          <cell r="EP53">
            <v>24.389055679999998</v>
          </cell>
          <cell r="EQ53">
            <v>8.9346473500000005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3102.5564480438834</v>
          </cell>
          <cell r="FO53">
            <v>0</v>
          </cell>
          <cell r="FP53">
            <v>175.58</v>
          </cell>
          <cell r="FQ53">
            <v>0</v>
          </cell>
          <cell r="FR53">
            <v>697.62100000000009</v>
          </cell>
          <cell r="FS53">
            <v>695.62100000000009</v>
          </cell>
          <cell r="FT53">
            <v>2</v>
          </cell>
          <cell r="FU53">
            <v>0</v>
          </cell>
          <cell r="FV53">
            <v>162</v>
          </cell>
          <cell r="FW53">
            <v>0</v>
          </cell>
          <cell r="FX53">
            <v>162</v>
          </cell>
          <cell r="FZ53">
            <v>604.26295830000004</v>
          </cell>
          <cell r="GA53">
            <v>0</v>
          </cell>
          <cell r="GB53">
            <v>10.842000000000002</v>
          </cell>
          <cell r="GC53">
            <v>0</v>
          </cell>
          <cell r="GD53">
            <v>18.175000000000001</v>
          </cell>
          <cell r="GE53">
            <v>18.175000000000001</v>
          </cell>
          <cell r="GF53">
            <v>0</v>
          </cell>
          <cell r="GG53">
            <v>0</v>
          </cell>
          <cell r="GH53">
            <v>112</v>
          </cell>
          <cell r="GI53">
            <v>0</v>
          </cell>
          <cell r="GJ53">
            <v>112</v>
          </cell>
          <cell r="GK53">
            <v>514.82344348999948</v>
          </cell>
          <cell r="GL53">
            <v>0</v>
          </cell>
          <cell r="GM53">
            <v>0</v>
          </cell>
          <cell r="GN53">
            <v>0</v>
          </cell>
          <cell r="GO53">
            <v>59.307000000000002</v>
          </cell>
          <cell r="GP53">
            <v>59.307000000000002</v>
          </cell>
          <cell r="GQ53">
            <v>0</v>
          </cell>
          <cell r="GR53">
            <v>0</v>
          </cell>
          <cell r="GS53">
            <v>1</v>
          </cell>
          <cell r="GT53">
            <v>0</v>
          </cell>
          <cell r="GU53">
            <v>1</v>
          </cell>
          <cell r="GV53">
            <v>475.62674384858701</v>
          </cell>
          <cell r="GW53">
            <v>0</v>
          </cell>
          <cell r="GX53">
            <v>0</v>
          </cell>
          <cell r="GY53">
            <v>0</v>
          </cell>
          <cell r="GZ53">
            <v>53</v>
          </cell>
          <cell r="HA53">
            <v>53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39.196699641412465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6.3069999999999995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104.98333589000001</v>
          </cell>
          <cell r="IZ53">
            <v>0</v>
          </cell>
          <cell r="JA53">
            <v>0</v>
          </cell>
          <cell r="JB53">
            <v>0</v>
          </cell>
          <cell r="JC53">
            <v>4.1915000000000004</v>
          </cell>
          <cell r="JD53">
            <v>4.1915000000000004</v>
          </cell>
          <cell r="JE53">
            <v>0</v>
          </cell>
          <cell r="JF53">
            <v>0</v>
          </cell>
          <cell r="JG53">
            <v>3</v>
          </cell>
          <cell r="JH53">
            <v>0</v>
          </cell>
          <cell r="JI53">
            <v>3</v>
          </cell>
          <cell r="JJ53">
            <v>2.0477729099999999</v>
          </cell>
          <cell r="JK53">
            <v>0</v>
          </cell>
          <cell r="JL53">
            <v>0</v>
          </cell>
          <cell r="JM53">
            <v>0</v>
          </cell>
          <cell r="JN53">
            <v>0.73250000000000004</v>
          </cell>
          <cell r="JO53">
            <v>0.73250000000000004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102.93556298</v>
          </cell>
          <cell r="JV53">
            <v>0</v>
          </cell>
          <cell r="JW53">
            <v>0</v>
          </cell>
          <cell r="JX53">
            <v>0</v>
          </cell>
          <cell r="JY53">
            <v>3.4590000000000001</v>
          </cell>
          <cell r="JZ53">
            <v>3.4590000000000001</v>
          </cell>
          <cell r="KA53">
            <v>0</v>
          </cell>
          <cell r="KB53">
            <v>0</v>
          </cell>
          <cell r="KC53">
            <v>3</v>
          </cell>
          <cell r="KD53">
            <v>0</v>
          </cell>
          <cell r="KE53">
            <v>3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0</v>
          </cell>
          <cell r="OR53">
            <v>0</v>
          </cell>
          <cell r="OT53">
            <v>2031.6875938646697</v>
          </cell>
        </row>
        <row r="54">
          <cell r="A54" t="str">
            <v>Г</v>
          </cell>
          <cell r="B54" t="str">
            <v>1.2.1.1</v>
          </cell>
          <cell r="C54" t="str">
            <v>Реконструкция трансформаторных и иных подстанций, всего, в том числе:</v>
          </cell>
          <cell r="D54" t="str">
            <v>Г</v>
          </cell>
          <cell r="E54">
            <v>0</v>
          </cell>
          <cell r="H54">
            <v>0</v>
          </cell>
          <cell r="J54">
            <v>852.29004287199996</v>
          </cell>
          <cell r="K54">
            <v>0</v>
          </cell>
          <cell r="L54">
            <v>852.29004287199996</v>
          </cell>
          <cell r="M54">
            <v>0</v>
          </cell>
          <cell r="N54">
            <v>0</v>
          </cell>
          <cell r="O54">
            <v>75.508838269152477</v>
          </cell>
          <cell r="P54">
            <v>178.17639041999999</v>
          </cell>
          <cell r="Q54">
            <v>598.60481432284746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3812.2178934788185</v>
          </cell>
          <cell r="CY54">
            <v>572.7289210797162</v>
          </cell>
          <cell r="CZ54">
            <v>1552.4358180467182</v>
          </cell>
          <cell r="DA54">
            <v>1396.6332410204841</v>
          </cell>
          <cell r="DB54">
            <v>351.73938608438334</v>
          </cell>
          <cell r="DE54">
            <v>0</v>
          </cell>
          <cell r="DG54">
            <v>606.57616354999993</v>
          </cell>
          <cell r="DH54">
            <v>0</v>
          </cell>
          <cell r="DI54">
            <v>606.57616354999993</v>
          </cell>
          <cell r="DJ54">
            <v>38.906113530000006</v>
          </cell>
          <cell r="DK54">
            <v>197.33895278</v>
          </cell>
          <cell r="DL54">
            <v>344.75768944999993</v>
          </cell>
          <cell r="DM54">
            <v>25.573407790000001</v>
          </cell>
          <cell r="DN54">
            <v>277.00832313952753</v>
          </cell>
          <cell r="DS54">
            <v>142.68802315457594</v>
          </cell>
          <cell r="DT54">
            <v>56.493174655273869</v>
          </cell>
          <cell r="DU54">
            <v>49.232590688265262</v>
          </cell>
          <cell r="DV54">
            <v>28.594534641412469</v>
          </cell>
          <cell r="DW54">
            <v>49.232590688265262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870.93788626000003</v>
          </cell>
          <cell r="ED54">
            <v>346.03663713000003</v>
          </cell>
          <cell r="EE54">
            <v>488.22764986999994</v>
          </cell>
          <cell r="EF54">
            <v>24.389055679999998</v>
          </cell>
          <cell r="EG54">
            <v>12.284543580000001</v>
          </cell>
          <cell r="EH54">
            <v>323.89559782000003</v>
          </cell>
          <cell r="EI54">
            <v>224.59279934</v>
          </cell>
          <cell r="EJ54">
            <v>95.952902250000008</v>
          </cell>
          <cell r="EK54">
            <v>0</v>
          </cell>
          <cell r="EL54">
            <v>3.3498962299999997</v>
          </cell>
          <cell r="EM54">
            <v>547.04228843999999</v>
          </cell>
          <cell r="EN54">
            <v>121.44383779</v>
          </cell>
          <cell r="EO54">
            <v>392.27474761999997</v>
          </cell>
          <cell r="EP54">
            <v>24.389055679999998</v>
          </cell>
          <cell r="EQ54">
            <v>8.9346473500000005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3102.5564480438834</v>
          </cell>
          <cell r="FO54">
            <v>0</v>
          </cell>
          <cell r="FP54">
            <v>175.58</v>
          </cell>
          <cell r="FQ54">
            <v>0</v>
          </cell>
          <cell r="FR54">
            <v>697.62100000000009</v>
          </cell>
          <cell r="FS54">
            <v>695.62100000000009</v>
          </cell>
          <cell r="FT54">
            <v>2</v>
          </cell>
          <cell r="FU54">
            <v>0</v>
          </cell>
          <cell r="FV54">
            <v>162</v>
          </cell>
          <cell r="FW54">
            <v>0</v>
          </cell>
          <cell r="FX54">
            <v>162</v>
          </cell>
          <cell r="FZ54">
            <v>604.26295830000004</v>
          </cell>
          <cell r="GA54">
            <v>0</v>
          </cell>
          <cell r="GB54">
            <v>10.842000000000002</v>
          </cell>
          <cell r="GC54">
            <v>0</v>
          </cell>
          <cell r="GD54">
            <v>18.175000000000001</v>
          </cell>
          <cell r="GE54">
            <v>18.175000000000001</v>
          </cell>
          <cell r="GF54">
            <v>0</v>
          </cell>
          <cell r="GG54">
            <v>0</v>
          </cell>
          <cell r="GH54">
            <v>112</v>
          </cell>
          <cell r="GI54">
            <v>0</v>
          </cell>
          <cell r="GJ54">
            <v>112</v>
          </cell>
          <cell r="GK54">
            <v>514.82344348999948</v>
          </cell>
          <cell r="GL54">
            <v>0</v>
          </cell>
          <cell r="GM54">
            <v>0</v>
          </cell>
          <cell r="GN54">
            <v>0</v>
          </cell>
          <cell r="GO54">
            <v>59.307000000000002</v>
          </cell>
          <cell r="GP54">
            <v>59.307000000000002</v>
          </cell>
          <cell r="GQ54">
            <v>0</v>
          </cell>
          <cell r="GR54">
            <v>0</v>
          </cell>
          <cell r="GS54">
            <v>1</v>
          </cell>
          <cell r="GT54">
            <v>0</v>
          </cell>
          <cell r="GU54">
            <v>1</v>
          </cell>
          <cell r="GV54">
            <v>475.62674384858701</v>
          </cell>
          <cell r="GW54">
            <v>0</v>
          </cell>
          <cell r="GX54">
            <v>0</v>
          </cell>
          <cell r="GY54">
            <v>0</v>
          </cell>
          <cell r="GZ54">
            <v>53</v>
          </cell>
          <cell r="HA54">
            <v>53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39.196699641412465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6.3069999999999995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104.98333589000001</v>
          </cell>
          <cell r="IZ54">
            <v>0</v>
          </cell>
          <cell r="JA54">
            <v>0</v>
          </cell>
          <cell r="JB54">
            <v>0</v>
          </cell>
          <cell r="JC54">
            <v>4.1915000000000004</v>
          </cell>
          <cell r="JD54">
            <v>4.1915000000000004</v>
          </cell>
          <cell r="JE54">
            <v>0</v>
          </cell>
          <cell r="JF54">
            <v>0</v>
          </cell>
          <cell r="JG54">
            <v>3</v>
          </cell>
          <cell r="JH54">
            <v>0</v>
          </cell>
          <cell r="JI54">
            <v>3</v>
          </cell>
          <cell r="JJ54">
            <v>2.0477729099999999</v>
          </cell>
          <cell r="JK54">
            <v>0</v>
          </cell>
          <cell r="JL54">
            <v>0</v>
          </cell>
          <cell r="JM54">
            <v>0</v>
          </cell>
          <cell r="JN54">
            <v>0.73250000000000004</v>
          </cell>
          <cell r="JO54">
            <v>0.73250000000000004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102.93556298</v>
          </cell>
          <cell r="JV54">
            <v>0</v>
          </cell>
          <cell r="JW54">
            <v>0</v>
          </cell>
          <cell r="JX54">
            <v>0</v>
          </cell>
          <cell r="JY54">
            <v>3.4590000000000001</v>
          </cell>
          <cell r="JZ54">
            <v>3.4590000000000001</v>
          </cell>
          <cell r="KA54">
            <v>0</v>
          </cell>
          <cell r="KB54">
            <v>0</v>
          </cell>
          <cell r="KC54">
            <v>3</v>
          </cell>
          <cell r="KD54">
            <v>0</v>
          </cell>
          <cell r="KE54">
            <v>3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0</v>
          </cell>
          <cell r="OR54">
            <v>0</v>
          </cell>
          <cell r="OT54">
            <v>2031.6875938646697</v>
          </cell>
        </row>
        <row r="55">
          <cell r="A55" t="str">
            <v>Г</v>
          </cell>
          <cell r="B55" t="str">
            <v>1.2.1.2</v>
          </cell>
          <cell r="C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5" t="str">
            <v>Г</v>
          </cell>
          <cell r="E55">
            <v>0.53106105999999997</v>
          </cell>
          <cell r="H55">
            <v>0</v>
          </cell>
          <cell r="J55">
            <v>852.82110393199991</v>
          </cell>
          <cell r="K55">
            <v>0.53106105999999997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0.44255088999999997</v>
          </cell>
          <cell r="DG55">
            <v>607.01871443999994</v>
          </cell>
          <cell r="DH55">
            <v>0.44255088999999997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870.93788626000003</v>
          </cell>
          <cell r="ED55">
            <v>346.03663713000003</v>
          </cell>
          <cell r="EE55">
            <v>488.22764986999994</v>
          </cell>
          <cell r="EF55">
            <v>24.389055679999998</v>
          </cell>
          <cell r="EG55">
            <v>12.284543580000001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>
            <v>0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104.98333589000001</v>
          </cell>
          <cell r="IZ55">
            <v>0</v>
          </cell>
          <cell r="JA55">
            <v>0</v>
          </cell>
          <cell r="JB55">
            <v>0</v>
          </cell>
          <cell r="JC55">
            <v>4.1915000000000004</v>
          </cell>
          <cell r="JD55">
            <v>4.1915000000000004</v>
          </cell>
          <cell r="JE55">
            <v>0</v>
          </cell>
          <cell r="JF55">
            <v>0</v>
          </cell>
          <cell r="JG55">
            <v>3</v>
          </cell>
          <cell r="JH55">
            <v>0</v>
          </cell>
          <cell r="JI55">
            <v>3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2031.6875938646697</v>
          </cell>
        </row>
        <row r="56">
          <cell r="A56" t="str">
            <v>J_Che251_19</v>
          </cell>
          <cell r="B56" t="str">
            <v>1.2.1.2</v>
          </cell>
          <cell r="C56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56" t="str">
            <v>J_Che251_19</v>
          </cell>
          <cell r="E56" t="str">
            <v>нд</v>
          </cell>
          <cell r="H56">
            <v>0</v>
          </cell>
          <cell r="J56">
            <v>0.53106105999999997</v>
          </cell>
          <cell r="K56">
            <v>0.53106105999999997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>
            <v>1</v>
          </cell>
          <cell r="BC56">
            <v>2</v>
          </cell>
          <cell r="BD56">
            <v>3</v>
          </cell>
          <cell r="BE56">
            <v>4</v>
          </cell>
          <cell r="BF56" t="str">
            <v>1 2 3 4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 t="str">
            <v>нд</v>
          </cell>
          <cell r="CY56" t="str">
            <v>нд</v>
          </cell>
          <cell r="CZ56" t="str">
            <v>нд</v>
          </cell>
          <cell r="DA56" t="str">
            <v>нд</v>
          </cell>
          <cell r="DB56" t="str">
            <v>нд</v>
          </cell>
          <cell r="DE56">
            <v>0.44255088999999997</v>
          </cell>
          <cell r="DG56">
            <v>0.44255088999999997</v>
          </cell>
          <cell r="DH56">
            <v>0.44255088999999997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 t="str">
            <v>нд</v>
          </cell>
          <cell r="DS56" t="str">
            <v>нд</v>
          </cell>
          <cell r="DT56" t="str">
            <v>нд</v>
          </cell>
          <cell r="DU56" t="str">
            <v>нд</v>
          </cell>
          <cell r="DV56" t="str">
            <v>нд</v>
          </cell>
          <cell r="DW56" t="str">
            <v>нд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0.44255088999999997</v>
          </cell>
          <cell r="ED56">
            <v>2.811E-2</v>
          </cell>
          <cell r="EE56">
            <v>9.6319000000000005E-3</v>
          </cell>
          <cell r="EF56">
            <v>0.37501196999999997</v>
          </cell>
          <cell r="EG56">
            <v>2.979702E-2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0.44255088999999997</v>
          </cell>
          <cell r="EN56">
            <v>2.811E-2</v>
          </cell>
          <cell r="EO56">
            <v>9.6319000000000005E-3</v>
          </cell>
          <cell r="EP56">
            <v>0.37501196999999997</v>
          </cell>
          <cell r="EQ56">
            <v>2.979702E-2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2</v>
          </cell>
          <cell r="FI56">
            <v>3</v>
          </cell>
          <cell r="FJ56">
            <v>4</v>
          </cell>
          <cell r="FK56" t="str">
            <v>1 2 3 4</v>
          </cell>
          <cell r="FN56" t="str">
            <v>нд</v>
          </cell>
          <cell r="FO56" t="str">
            <v>нд</v>
          </cell>
          <cell r="FP56" t="str">
            <v>нд</v>
          </cell>
          <cell r="FQ56" t="str">
            <v>нд</v>
          </cell>
          <cell r="FR56" t="str">
            <v>нд</v>
          </cell>
          <cell r="FS56" t="str">
            <v>нд</v>
          </cell>
          <cell r="FT56" t="str">
            <v>нд</v>
          </cell>
          <cell r="FU56" t="str">
            <v>нд</v>
          </cell>
          <cell r="FV56" t="str">
            <v>нд</v>
          </cell>
          <cell r="FW56" t="str">
            <v>нд</v>
          </cell>
          <cell r="FX56" t="str">
            <v>нд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 t="str">
            <v>нд</v>
          </cell>
          <cell r="GL56" t="str">
            <v>нд</v>
          </cell>
          <cell r="GM56" t="str">
            <v>нд</v>
          </cell>
          <cell r="GN56" t="str">
            <v>нд</v>
          </cell>
          <cell r="GO56" t="str">
            <v>нд</v>
          </cell>
          <cell r="GP56" t="str">
            <v>нд</v>
          </cell>
          <cell r="GQ56" t="str">
            <v>нд</v>
          </cell>
          <cell r="GR56" t="str">
            <v>нд</v>
          </cell>
          <cell r="GS56" t="str">
            <v>нд</v>
          </cell>
          <cell r="GT56" t="str">
            <v>нд</v>
          </cell>
          <cell r="GU56" t="str">
            <v>нд</v>
          </cell>
          <cell r="GV56" t="str">
            <v>нд</v>
          </cell>
          <cell r="GW56" t="str">
            <v>нд</v>
          </cell>
          <cell r="GX56" t="str">
            <v>нд</v>
          </cell>
          <cell r="GY56" t="str">
            <v>нд</v>
          </cell>
          <cell r="GZ56" t="str">
            <v>нд</v>
          </cell>
          <cell r="HA56" t="str">
            <v>нд</v>
          </cell>
          <cell r="HB56" t="str">
            <v>нд</v>
          </cell>
          <cell r="HC56" t="str">
            <v>нд</v>
          </cell>
          <cell r="HD56" t="str">
            <v>нд</v>
          </cell>
          <cell r="HE56" t="str">
            <v>нд</v>
          </cell>
          <cell r="HF56" t="str">
            <v>нд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 t="str">
            <v>нд</v>
          </cell>
          <cell r="HM56" t="str">
            <v>нд</v>
          </cell>
          <cell r="HN56" t="str">
            <v>нд</v>
          </cell>
          <cell r="HO56" t="str">
            <v>нд</v>
          </cell>
          <cell r="HP56" t="str">
            <v>нд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 t="str">
            <v>нд</v>
          </cell>
          <cell r="HW56" t="str">
            <v>нд</v>
          </cell>
          <cell r="HX56" t="str">
            <v>нд</v>
          </cell>
          <cell r="HY56" t="str">
            <v>нд</v>
          </cell>
          <cell r="HZ56" t="str">
            <v>нд</v>
          </cell>
          <cell r="IA56" t="str">
            <v>нд</v>
          </cell>
          <cell r="IB56" t="str">
            <v>нд</v>
          </cell>
          <cell r="IC56" t="str">
            <v>нд</v>
          </cell>
          <cell r="ID56">
            <v>0</v>
          </cell>
          <cell r="IE56" t="str">
            <v>нд</v>
          </cell>
          <cell r="IF56">
            <v>0</v>
          </cell>
          <cell r="IG56">
            <v>0</v>
          </cell>
          <cell r="IH56" t="str">
            <v>нд</v>
          </cell>
          <cell r="II56" t="str">
            <v>нд</v>
          </cell>
          <cell r="IJ56" t="str">
            <v>нд</v>
          </cell>
          <cell r="IK56">
            <v>0</v>
          </cell>
          <cell r="IL56">
            <v>0</v>
          </cell>
          <cell r="IM56">
            <v>0</v>
          </cell>
          <cell r="IN56" t="str">
            <v>нд</v>
          </cell>
          <cell r="IO56" t="str">
            <v>нд</v>
          </cell>
          <cell r="IP56" t="str">
            <v>нд</v>
          </cell>
          <cell r="IQ56" t="str">
            <v>нд</v>
          </cell>
          <cell r="IR56" t="str">
            <v>нд</v>
          </cell>
          <cell r="IS56" t="str">
            <v>нд</v>
          </cell>
          <cell r="IT56" t="str">
            <v>нд</v>
          </cell>
          <cell r="IU56" t="str">
            <v>нд</v>
          </cell>
          <cell r="IV56" t="str">
            <v>нд</v>
          </cell>
          <cell r="IW56" t="str">
            <v>нд</v>
          </cell>
          <cell r="IX56" t="str">
            <v>нд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 t="str">
            <v>нд</v>
          </cell>
          <cell r="LR56" t="str">
            <v>нд</v>
          </cell>
          <cell r="LS56" t="str">
            <v>нд</v>
          </cell>
          <cell r="LT56" t="str">
            <v>нд</v>
          </cell>
          <cell r="LU56" t="str">
            <v>нд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 t="str">
            <v>нд</v>
          </cell>
          <cell r="MD56" t="str">
            <v>нд</v>
          </cell>
          <cell r="ME56" t="str">
            <v>нд</v>
          </cell>
          <cell r="MF56" t="str">
            <v>нд</v>
          </cell>
          <cell r="MG56" t="str">
            <v>нд</v>
          </cell>
          <cell r="MH56" t="str">
            <v>нд</v>
          </cell>
          <cell r="MI56" t="str">
            <v>нд</v>
          </cell>
          <cell r="MJ56" t="str">
            <v>нд</v>
          </cell>
          <cell r="MK56" t="str">
            <v>нд</v>
          </cell>
          <cell r="ML56" t="str">
            <v>нд</v>
          </cell>
          <cell r="MM56" t="str">
            <v>нд</v>
          </cell>
          <cell r="MN56" t="str">
            <v>нд</v>
          </cell>
          <cell r="MO56" t="str">
            <v>нд</v>
          </cell>
          <cell r="MP56" t="str">
            <v>нд</v>
          </cell>
          <cell r="MQ56" t="str">
            <v>нд</v>
          </cell>
          <cell r="MR56" t="str">
            <v>нд</v>
          </cell>
          <cell r="MS56" t="str">
            <v>нд</v>
          </cell>
          <cell r="MT56" t="str">
            <v>нд</v>
          </cell>
          <cell r="MU56" t="str">
            <v>нд</v>
          </cell>
          <cell r="MV56" t="str">
            <v>нд</v>
          </cell>
          <cell r="MW56" t="str">
            <v>нд</v>
          </cell>
          <cell r="MX56" t="str">
            <v>нд</v>
          </cell>
          <cell r="MY56" t="str">
            <v>нд</v>
          </cell>
          <cell r="MZ56" t="str">
            <v>нд</v>
          </cell>
          <cell r="NA56" t="str">
            <v>нд</v>
          </cell>
          <cell r="NB56" t="str">
            <v>нд</v>
          </cell>
          <cell r="NC56" t="str">
            <v>нд</v>
          </cell>
          <cell r="ND56" t="str">
            <v>нд</v>
          </cell>
          <cell r="NE56" t="str">
            <v>нд</v>
          </cell>
          <cell r="NF56" t="str">
            <v>нд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2019</v>
          </cell>
          <cell r="OM56">
            <v>2019</v>
          </cell>
          <cell r="ON56">
            <v>2019</v>
          </cell>
          <cell r="OO56">
            <v>2019</v>
          </cell>
          <cell r="OP56" t="str">
            <v>п</v>
          </cell>
          <cell r="OR56">
            <v>0</v>
          </cell>
          <cell r="OT56">
            <v>0.53106105999999997</v>
          </cell>
        </row>
        <row r="57">
          <cell r="A57" t="str">
            <v>Г</v>
          </cell>
          <cell r="B57" t="str">
            <v>1.2.2</v>
          </cell>
          <cell r="C57" t="str">
            <v>Реконструкция, модернизация, техническое перевооружение линий электропередачи,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870.93788626000003</v>
          </cell>
          <cell r="ED57">
            <v>346.03663713000003</v>
          </cell>
          <cell r="EE57">
            <v>488.22764986999994</v>
          </cell>
          <cell r="EF57">
            <v>24.389055679999998</v>
          </cell>
          <cell r="EG57">
            <v>12.284543580000001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104.98333589000001</v>
          </cell>
          <cell r="IZ57">
            <v>0</v>
          </cell>
          <cell r="JA57">
            <v>0</v>
          </cell>
          <cell r="JB57">
            <v>0</v>
          </cell>
          <cell r="JC57">
            <v>4.1915000000000004</v>
          </cell>
          <cell r="JD57">
            <v>4.1915000000000004</v>
          </cell>
          <cell r="JE57">
            <v>0</v>
          </cell>
          <cell r="JF57">
            <v>0</v>
          </cell>
          <cell r="JG57">
            <v>3</v>
          </cell>
          <cell r="JH57">
            <v>0</v>
          </cell>
          <cell r="JI57">
            <v>3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2031.6875938646697</v>
          </cell>
        </row>
        <row r="58">
          <cell r="A58" t="str">
            <v>Г</v>
          </cell>
          <cell r="B58" t="str">
            <v>1.2.2.1</v>
          </cell>
          <cell r="C58" t="str">
            <v>Реконструкция линий электропередачи, всего, в том числе:</v>
          </cell>
          <cell r="D58" t="str">
            <v>Г</v>
          </cell>
          <cell r="E58">
            <v>0</v>
          </cell>
          <cell r="H58">
            <v>0</v>
          </cell>
          <cell r="J58">
            <v>852.29004287199996</v>
          </cell>
          <cell r="K58">
            <v>0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0</v>
          </cell>
          <cell r="DG58">
            <v>606.57616354999993</v>
          </cell>
          <cell r="DH58">
            <v>0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870.93788626000003</v>
          </cell>
          <cell r="ED58">
            <v>346.03663713000003</v>
          </cell>
          <cell r="EE58">
            <v>488.22764986999994</v>
          </cell>
          <cell r="EF58">
            <v>24.389055679999998</v>
          </cell>
          <cell r="EG58">
            <v>12.284543580000001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104.98333589000001</v>
          </cell>
          <cell r="IZ58">
            <v>0</v>
          </cell>
          <cell r="JA58">
            <v>0</v>
          </cell>
          <cell r="JB58">
            <v>0</v>
          </cell>
          <cell r="JC58">
            <v>4.1915000000000004</v>
          </cell>
          <cell r="JD58">
            <v>4.1915000000000004</v>
          </cell>
          <cell r="JE58">
            <v>0</v>
          </cell>
          <cell r="JF58">
            <v>0</v>
          </cell>
          <cell r="JG58">
            <v>3</v>
          </cell>
          <cell r="JH58">
            <v>0</v>
          </cell>
          <cell r="JI58">
            <v>3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2031.6875938646697</v>
          </cell>
        </row>
        <row r="59">
          <cell r="A59" t="str">
            <v>Г</v>
          </cell>
          <cell r="B59" t="str">
            <v>1.2.2.2</v>
          </cell>
          <cell r="C59" t="str">
            <v>Модернизация, техническое перевооружение линий электропередачи, всего, в том числе:</v>
          </cell>
          <cell r="D59" t="str">
            <v>Г</v>
          </cell>
          <cell r="E59">
            <v>0</v>
          </cell>
          <cell r="H59">
            <v>0</v>
          </cell>
          <cell r="J59">
            <v>852.29004287199996</v>
          </cell>
          <cell r="K59">
            <v>0</v>
          </cell>
          <cell r="L59">
            <v>852.29004287199996</v>
          </cell>
          <cell r="M59">
            <v>0</v>
          </cell>
          <cell r="N59">
            <v>0</v>
          </cell>
          <cell r="O59">
            <v>75.508838269152477</v>
          </cell>
          <cell r="P59">
            <v>178.17639041999999</v>
          </cell>
          <cell r="Q59">
            <v>598.60481432284746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3812.2178934788185</v>
          </cell>
          <cell r="CY59">
            <v>572.7289210797162</v>
          </cell>
          <cell r="CZ59">
            <v>1552.4358180467182</v>
          </cell>
          <cell r="DA59">
            <v>1396.6332410204841</v>
          </cell>
          <cell r="DB59">
            <v>351.73938608438334</v>
          </cell>
          <cell r="DE59">
            <v>0</v>
          </cell>
          <cell r="DG59">
            <v>606.57616354999993</v>
          </cell>
          <cell r="DH59">
            <v>0</v>
          </cell>
          <cell r="DI59">
            <v>606.57616354999993</v>
          </cell>
          <cell r="DJ59">
            <v>38.906113530000006</v>
          </cell>
          <cell r="DK59">
            <v>197.33895278</v>
          </cell>
          <cell r="DL59">
            <v>344.75768944999993</v>
          </cell>
          <cell r="DM59">
            <v>25.573407790000001</v>
          </cell>
          <cell r="DN59">
            <v>277.00832313952753</v>
          </cell>
          <cell r="DS59">
            <v>142.68802315457594</v>
          </cell>
          <cell r="DT59">
            <v>56.493174655273869</v>
          </cell>
          <cell r="DU59">
            <v>49.232590688265262</v>
          </cell>
          <cell r="DV59">
            <v>28.594534641412469</v>
          </cell>
          <cell r="DW59">
            <v>49.232590688265262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870.93788626000003</v>
          </cell>
          <cell r="ED59">
            <v>346.03663713000003</v>
          </cell>
          <cell r="EE59">
            <v>488.22764986999994</v>
          </cell>
          <cell r="EF59">
            <v>24.389055679999998</v>
          </cell>
          <cell r="EG59">
            <v>12.284543580000001</v>
          </cell>
          <cell r="EH59">
            <v>323.89559782000003</v>
          </cell>
          <cell r="EI59">
            <v>224.59279934</v>
          </cell>
          <cell r="EJ59">
            <v>95.952902250000008</v>
          </cell>
          <cell r="EK59">
            <v>0</v>
          </cell>
          <cell r="EL59">
            <v>3.3498962299999997</v>
          </cell>
          <cell r="EM59">
            <v>547.04228843999999</v>
          </cell>
          <cell r="EN59">
            <v>121.44383779</v>
          </cell>
          <cell r="EO59">
            <v>392.27474761999997</v>
          </cell>
          <cell r="EP59">
            <v>24.389055679999998</v>
          </cell>
          <cell r="EQ59">
            <v>8.9346473500000005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3102.5564480438834</v>
          </cell>
          <cell r="FO59">
            <v>0</v>
          </cell>
          <cell r="FP59">
            <v>175.58</v>
          </cell>
          <cell r="FQ59">
            <v>0</v>
          </cell>
          <cell r="FR59">
            <v>697.62100000000009</v>
          </cell>
          <cell r="FS59">
            <v>695.62100000000009</v>
          </cell>
          <cell r="FT59">
            <v>2</v>
          </cell>
          <cell r="FU59">
            <v>0</v>
          </cell>
          <cell r="FV59">
            <v>162</v>
          </cell>
          <cell r="FW59">
            <v>0</v>
          </cell>
          <cell r="FX59">
            <v>162</v>
          </cell>
          <cell r="FZ59">
            <v>604.26295830000004</v>
          </cell>
          <cell r="GA59">
            <v>0</v>
          </cell>
          <cell r="GB59">
            <v>10.842000000000002</v>
          </cell>
          <cell r="GC59">
            <v>0</v>
          </cell>
          <cell r="GD59">
            <v>18.175000000000001</v>
          </cell>
          <cell r="GE59">
            <v>18.175000000000001</v>
          </cell>
          <cell r="GF59">
            <v>0</v>
          </cell>
          <cell r="GG59">
            <v>0</v>
          </cell>
          <cell r="GH59">
            <v>112</v>
          </cell>
          <cell r="GI59">
            <v>0</v>
          </cell>
          <cell r="GJ59">
            <v>112</v>
          </cell>
          <cell r="GK59">
            <v>514.82344348999948</v>
          </cell>
          <cell r="GL59">
            <v>0</v>
          </cell>
          <cell r="GM59">
            <v>0</v>
          </cell>
          <cell r="GN59">
            <v>0</v>
          </cell>
          <cell r="GO59">
            <v>59.307000000000002</v>
          </cell>
          <cell r="GP59">
            <v>59.307000000000002</v>
          </cell>
          <cell r="GQ59">
            <v>0</v>
          </cell>
          <cell r="GR59">
            <v>0</v>
          </cell>
          <cell r="GS59">
            <v>1</v>
          </cell>
          <cell r="GT59">
            <v>0</v>
          </cell>
          <cell r="GU59">
            <v>1</v>
          </cell>
          <cell r="GV59">
            <v>475.62674384858701</v>
          </cell>
          <cell r="GW59">
            <v>0</v>
          </cell>
          <cell r="GX59">
            <v>0</v>
          </cell>
          <cell r="GY59">
            <v>0</v>
          </cell>
          <cell r="GZ59">
            <v>53</v>
          </cell>
          <cell r="HA59">
            <v>53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39.196699641412465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6.3069999999999995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104.98333589000001</v>
          </cell>
          <cell r="IZ59">
            <v>0</v>
          </cell>
          <cell r="JA59">
            <v>0</v>
          </cell>
          <cell r="JB59">
            <v>0</v>
          </cell>
          <cell r="JC59">
            <v>4.1915000000000004</v>
          </cell>
          <cell r="JD59">
            <v>4.1915000000000004</v>
          </cell>
          <cell r="JE59">
            <v>0</v>
          </cell>
          <cell r="JF59">
            <v>0</v>
          </cell>
          <cell r="JG59">
            <v>3</v>
          </cell>
          <cell r="JH59">
            <v>0</v>
          </cell>
          <cell r="JI59">
            <v>3</v>
          </cell>
          <cell r="JJ59">
            <v>2.0477729099999999</v>
          </cell>
          <cell r="JK59">
            <v>0</v>
          </cell>
          <cell r="JL59">
            <v>0</v>
          </cell>
          <cell r="JM59">
            <v>0</v>
          </cell>
          <cell r="JN59">
            <v>0.73250000000000004</v>
          </cell>
          <cell r="JO59">
            <v>0.73250000000000004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102.93556298</v>
          </cell>
          <cell r="JV59">
            <v>0</v>
          </cell>
          <cell r="JW59">
            <v>0</v>
          </cell>
          <cell r="JX59">
            <v>0</v>
          </cell>
          <cell r="JY59">
            <v>3.4590000000000001</v>
          </cell>
          <cell r="JZ59">
            <v>3.4590000000000001</v>
          </cell>
          <cell r="KA59">
            <v>0</v>
          </cell>
          <cell r="KB59">
            <v>0</v>
          </cell>
          <cell r="KC59">
            <v>3</v>
          </cell>
          <cell r="KD59">
            <v>0</v>
          </cell>
          <cell r="KE59">
            <v>3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R59">
            <v>0</v>
          </cell>
          <cell r="OT59">
            <v>2031.6875938646697</v>
          </cell>
        </row>
        <row r="60">
          <cell r="A60" t="str">
            <v>Г</v>
          </cell>
          <cell r="B60" t="str">
            <v>1.2.3</v>
          </cell>
          <cell r="C60" t="str">
            <v>Развитие и модернизация учета электрической энергии (мощности),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852.29004287199996</v>
          </cell>
          <cell r="K60">
            <v>0</v>
          </cell>
          <cell r="L60">
            <v>852.29004287199996</v>
          </cell>
          <cell r="M60">
            <v>0</v>
          </cell>
          <cell r="N60">
            <v>0</v>
          </cell>
          <cell r="O60">
            <v>75.508838269152477</v>
          </cell>
          <cell r="P60">
            <v>178.17639041999999</v>
          </cell>
          <cell r="Q60">
            <v>598.60481432284746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3812.2178934788185</v>
          </cell>
          <cell r="CY60">
            <v>572.7289210797162</v>
          </cell>
          <cell r="CZ60">
            <v>1552.4358180467182</v>
          </cell>
          <cell r="DA60">
            <v>1396.6332410204841</v>
          </cell>
          <cell r="DB60">
            <v>351.73938608438334</v>
          </cell>
          <cell r="DE60">
            <v>0</v>
          </cell>
          <cell r="DG60">
            <v>606.57616354999993</v>
          </cell>
          <cell r="DH60">
            <v>0</v>
          </cell>
          <cell r="DI60">
            <v>606.57616354999993</v>
          </cell>
          <cell r="DJ60">
            <v>38.906113530000006</v>
          </cell>
          <cell r="DK60">
            <v>197.33895278</v>
          </cell>
          <cell r="DL60">
            <v>344.75768944999993</v>
          </cell>
          <cell r="DM60">
            <v>25.573407790000001</v>
          </cell>
          <cell r="DN60">
            <v>277.00832313952753</v>
          </cell>
          <cell r="DS60">
            <v>142.68802315457594</v>
          </cell>
          <cell r="DT60">
            <v>56.493174655273869</v>
          </cell>
          <cell r="DU60">
            <v>49.232590688265262</v>
          </cell>
          <cell r="DV60">
            <v>28.594534641412469</v>
          </cell>
          <cell r="DW60">
            <v>49.232590688265262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870.93788626000003</v>
          </cell>
          <cell r="ED60">
            <v>346.03663713000003</v>
          </cell>
          <cell r="EE60">
            <v>488.22764986999994</v>
          </cell>
          <cell r="EF60">
            <v>24.389055679999998</v>
          </cell>
          <cell r="EG60">
            <v>12.284543580000001</v>
          </cell>
          <cell r="EH60">
            <v>323.89559782000003</v>
          </cell>
          <cell r="EI60">
            <v>224.59279934</v>
          </cell>
          <cell r="EJ60">
            <v>95.952902250000008</v>
          </cell>
          <cell r="EK60">
            <v>0</v>
          </cell>
          <cell r="EL60">
            <v>3.3498962299999997</v>
          </cell>
          <cell r="EM60">
            <v>547.04228843999999</v>
          </cell>
          <cell r="EN60">
            <v>121.44383779</v>
          </cell>
          <cell r="EO60">
            <v>392.27474761999997</v>
          </cell>
          <cell r="EP60">
            <v>24.389055679999998</v>
          </cell>
          <cell r="EQ60">
            <v>8.9346473500000005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3102.5564480438834</v>
          </cell>
          <cell r="FO60">
            <v>0</v>
          </cell>
          <cell r="FP60">
            <v>175.58</v>
          </cell>
          <cell r="FQ60">
            <v>0</v>
          </cell>
          <cell r="FR60">
            <v>697.62100000000009</v>
          </cell>
          <cell r="FS60">
            <v>695.62100000000009</v>
          </cell>
          <cell r="FT60">
            <v>2</v>
          </cell>
          <cell r="FU60">
            <v>0</v>
          </cell>
          <cell r="FV60">
            <v>162</v>
          </cell>
          <cell r="FW60">
            <v>0</v>
          </cell>
          <cell r="FX60">
            <v>162</v>
          </cell>
          <cell r="FZ60">
            <v>604.26295830000004</v>
          </cell>
          <cell r="GA60">
            <v>0</v>
          </cell>
          <cell r="GB60">
            <v>10.842000000000002</v>
          </cell>
          <cell r="GC60">
            <v>0</v>
          </cell>
          <cell r="GD60">
            <v>18.175000000000001</v>
          </cell>
          <cell r="GE60">
            <v>18.175000000000001</v>
          </cell>
          <cell r="GF60">
            <v>0</v>
          </cell>
          <cell r="GG60">
            <v>0</v>
          </cell>
          <cell r="GH60">
            <v>112</v>
          </cell>
          <cell r="GI60">
            <v>0</v>
          </cell>
          <cell r="GJ60">
            <v>112</v>
          </cell>
          <cell r="GK60">
            <v>514.82344348999948</v>
          </cell>
          <cell r="GL60">
            <v>0</v>
          </cell>
          <cell r="GM60">
            <v>0</v>
          </cell>
          <cell r="GN60">
            <v>0</v>
          </cell>
          <cell r="GO60">
            <v>59.307000000000002</v>
          </cell>
          <cell r="GP60">
            <v>59.307000000000002</v>
          </cell>
          <cell r="GQ60">
            <v>0</v>
          </cell>
          <cell r="GR60">
            <v>0</v>
          </cell>
          <cell r="GS60">
            <v>1</v>
          </cell>
          <cell r="GT60">
            <v>0</v>
          </cell>
          <cell r="GU60">
            <v>1</v>
          </cell>
          <cell r="GV60">
            <v>475.62674384858701</v>
          </cell>
          <cell r="GW60">
            <v>0</v>
          </cell>
          <cell r="GX60">
            <v>0</v>
          </cell>
          <cell r="GY60">
            <v>0</v>
          </cell>
          <cell r="GZ60">
            <v>53</v>
          </cell>
          <cell r="HA60">
            <v>53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39.196699641412465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6.3069999999999995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104.98333589000001</v>
          </cell>
          <cell r="IZ60">
            <v>0</v>
          </cell>
          <cell r="JA60">
            <v>0</v>
          </cell>
          <cell r="JB60">
            <v>0</v>
          </cell>
          <cell r="JC60">
            <v>4.1915000000000004</v>
          </cell>
          <cell r="JD60">
            <v>4.1915000000000004</v>
          </cell>
          <cell r="JE60">
            <v>0</v>
          </cell>
          <cell r="JF60">
            <v>0</v>
          </cell>
          <cell r="JG60">
            <v>3</v>
          </cell>
          <cell r="JH60">
            <v>0</v>
          </cell>
          <cell r="JI60">
            <v>3</v>
          </cell>
          <cell r="JJ60">
            <v>2.0477729099999999</v>
          </cell>
          <cell r="JK60">
            <v>0</v>
          </cell>
          <cell r="JL60">
            <v>0</v>
          </cell>
          <cell r="JM60">
            <v>0</v>
          </cell>
          <cell r="JN60">
            <v>0.73250000000000004</v>
          </cell>
          <cell r="JO60">
            <v>0.73250000000000004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102.93556298</v>
          </cell>
          <cell r="JV60">
            <v>0</v>
          </cell>
          <cell r="JW60">
            <v>0</v>
          </cell>
          <cell r="JX60">
            <v>0</v>
          </cell>
          <cell r="JY60">
            <v>3.4590000000000001</v>
          </cell>
          <cell r="JZ60">
            <v>3.4590000000000001</v>
          </cell>
          <cell r="KA60">
            <v>0</v>
          </cell>
          <cell r="KB60">
            <v>0</v>
          </cell>
          <cell r="KC60">
            <v>3</v>
          </cell>
          <cell r="KD60">
            <v>0</v>
          </cell>
          <cell r="KE60">
            <v>3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0</v>
          </cell>
          <cell r="OM60">
            <v>0</v>
          </cell>
          <cell r="ON60">
            <v>0</v>
          </cell>
          <cell r="OO60">
            <v>0</v>
          </cell>
          <cell r="OP60">
            <v>0</v>
          </cell>
          <cell r="OR60">
            <v>0</v>
          </cell>
          <cell r="OT60">
            <v>2031.6875938646697</v>
          </cell>
        </row>
        <row r="61">
          <cell r="A61" t="str">
            <v>Г</v>
          </cell>
          <cell r="B61" t="str">
            <v>1.2.3.1</v>
          </cell>
          <cell r="C61" t="str">
            <v>«Установка приборов учета, класс напряжения 0,22 (0,4) кВ, всего, в том числе:»</v>
          </cell>
          <cell r="D61" t="str">
            <v>Г</v>
          </cell>
          <cell r="E61">
            <v>0</v>
          </cell>
          <cell r="H61">
            <v>0</v>
          </cell>
          <cell r="J61">
            <v>852.29004287199996</v>
          </cell>
          <cell r="K61">
            <v>0</v>
          </cell>
          <cell r="L61">
            <v>852.29004287199996</v>
          </cell>
          <cell r="M61">
            <v>0</v>
          </cell>
          <cell r="N61">
            <v>0</v>
          </cell>
          <cell r="O61">
            <v>75.508838269152477</v>
          </cell>
          <cell r="P61">
            <v>178.17639041999999</v>
          </cell>
          <cell r="Q61">
            <v>598.60481432284746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3812.2178934788185</v>
          </cell>
          <cell r="CY61">
            <v>572.7289210797162</v>
          </cell>
          <cell r="CZ61">
            <v>1552.4358180467182</v>
          </cell>
          <cell r="DA61">
            <v>1396.6332410204841</v>
          </cell>
          <cell r="DB61">
            <v>351.73938608438334</v>
          </cell>
          <cell r="DE61">
            <v>0</v>
          </cell>
          <cell r="DG61">
            <v>606.57616354999993</v>
          </cell>
          <cell r="DH61">
            <v>0</v>
          </cell>
          <cell r="DI61">
            <v>606.57616354999993</v>
          </cell>
          <cell r="DJ61">
            <v>38.906113530000006</v>
          </cell>
          <cell r="DK61">
            <v>197.33895278</v>
          </cell>
          <cell r="DL61">
            <v>344.75768944999993</v>
          </cell>
          <cell r="DM61">
            <v>25.573407790000001</v>
          </cell>
          <cell r="DN61">
            <v>277.00832313952753</v>
          </cell>
          <cell r="DS61">
            <v>142.68802315457594</v>
          </cell>
          <cell r="DT61">
            <v>56.493174655273869</v>
          </cell>
          <cell r="DU61">
            <v>49.232590688265262</v>
          </cell>
          <cell r="DV61">
            <v>28.594534641412469</v>
          </cell>
          <cell r="DW61">
            <v>49.232590688265262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870.93788626000003</v>
          </cell>
          <cell r="ED61">
            <v>346.03663713000003</v>
          </cell>
          <cell r="EE61">
            <v>488.22764986999994</v>
          </cell>
          <cell r="EF61">
            <v>24.389055679999998</v>
          </cell>
          <cell r="EG61">
            <v>12.284543580000001</v>
          </cell>
          <cell r="EH61">
            <v>323.89559782000003</v>
          </cell>
          <cell r="EI61">
            <v>224.59279934</v>
          </cell>
          <cell r="EJ61">
            <v>95.952902250000008</v>
          </cell>
          <cell r="EK61">
            <v>0</v>
          </cell>
          <cell r="EL61">
            <v>3.3498962299999997</v>
          </cell>
          <cell r="EM61">
            <v>547.04228843999999</v>
          </cell>
          <cell r="EN61">
            <v>121.44383779</v>
          </cell>
          <cell r="EO61">
            <v>392.27474761999997</v>
          </cell>
          <cell r="EP61">
            <v>24.389055679999998</v>
          </cell>
          <cell r="EQ61">
            <v>8.9346473500000005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>
            <v>0</v>
          </cell>
          <cell r="FN61">
            <v>3102.5564480438834</v>
          </cell>
          <cell r="FO61">
            <v>0</v>
          </cell>
          <cell r="FP61">
            <v>175.58</v>
          </cell>
          <cell r="FQ61">
            <v>0</v>
          </cell>
          <cell r="FR61">
            <v>697.62100000000009</v>
          </cell>
          <cell r="FS61">
            <v>695.62100000000009</v>
          </cell>
          <cell r="FT61">
            <v>2</v>
          </cell>
          <cell r="FU61">
            <v>0</v>
          </cell>
          <cell r="FV61">
            <v>162</v>
          </cell>
          <cell r="FW61">
            <v>0</v>
          </cell>
          <cell r="FX61">
            <v>162</v>
          </cell>
          <cell r="FZ61">
            <v>604.26295830000004</v>
          </cell>
          <cell r="GA61">
            <v>0</v>
          </cell>
          <cell r="GB61">
            <v>10.842000000000002</v>
          </cell>
          <cell r="GC61">
            <v>0</v>
          </cell>
          <cell r="GD61">
            <v>18.175000000000001</v>
          </cell>
          <cell r="GE61">
            <v>18.175000000000001</v>
          </cell>
          <cell r="GF61">
            <v>0</v>
          </cell>
          <cell r="GG61">
            <v>0</v>
          </cell>
          <cell r="GH61">
            <v>112</v>
          </cell>
          <cell r="GI61">
            <v>0</v>
          </cell>
          <cell r="GJ61">
            <v>112</v>
          </cell>
          <cell r="GK61">
            <v>514.82344348999948</v>
          </cell>
          <cell r="GL61">
            <v>0</v>
          </cell>
          <cell r="GM61">
            <v>0</v>
          </cell>
          <cell r="GN61">
            <v>0</v>
          </cell>
          <cell r="GO61">
            <v>59.307000000000002</v>
          </cell>
          <cell r="GP61">
            <v>59.307000000000002</v>
          </cell>
          <cell r="GQ61">
            <v>0</v>
          </cell>
          <cell r="GR61">
            <v>0</v>
          </cell>
          <cell r="GS61">
            <v>1</v>
          </cell>
          <cell r="GT61">
            <v>0</v>
          </cell>
          <cell r="GU61">
            <v>1</v>
          </cell>
          <cell r="GV61">
            <v>475.62674384858701</v>
          </cell>
          <cell r="GW61">
            <v>0</v>
          </cell>
          <cell r="GX61">
            <v>0</v>
          </cell>
          <cell r="GY61">
            <v>0</v>
          </cell>
          <cell r="GZ61">
            <v>53</v>
          </cell>
          <cell r="HA61">
            <v>53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39.196699641412465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6.3069999999999995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104.98333589000001</v>
          </cell>
          <cell r="IZ61">
            <v>0</v>
          </cell>
          <cell r="JA61">
            <v>0</v>
          </cell>
          <cell r="JB61">
            <v>0</v>
          </cell>
          <cell r="JC61">
            <v>4.1915000000000004</v>
          </cell>
          <cell r="JD61">
            <v>4.1915000000000004</v>
          </cell>
          <cell r="JE61">
            <v>0</v>
          </cell>
          <cell r="JF61">
            <v>0</v>
          </cell>
          <cell r="JG61">
            <v>3</v>
          </cell>
          <cell r="JH61">
            <v>0</v>
          </cell>
          <cell r="JI61">
            <v>3</v>
          </cell>
          <cell r="JJ61">
            <v>2.0477729099999999</v>
          </cell>
          <cell r="JK61">
            <v>0</v>
          </cell>
          <cell r="JL61">
            <v>0</v>
          </cell>
          <cell r="JM61">
            <v>0</v>
          </cell>
          <cell r="JN61">
            <v>0.73250000000000004</v>
          </cell>
          <cell r="JO61">
            <v>0.73250000000000004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102.93556298</v>
          </cell>
          <cell r="JV61">
            <v>0</v>
          </cell>
          <cell r="JW61">
            <v>0</v>
          </cell>
          <cell r="JX61">
            <v>0</v>
          </cell>
          <cell r="JY61">
            <v>3.4590000000000001</v>
          </cell>
          <cell r="JZ61">
            <v>3.4590000000000001</v>
          </cell>
          <cell r="KA61">
            <v>0</v>
          </cell>
          <cell r="KB61">
            <v>0</v>
          </cell>
          <cell r="KC61">
            <v>3</v>
          </cell>
          <cell r="KD61">
            <v>0</v>
          </cell>
          <cell r="KE61">
            <v>3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0</v>
          </cell>
          <cell r="OM61">
            <v>0</v>
          </cell>
          <cell r="ON61">
            <v>0</v>
          </cell>
          <cell r="OO61">
            <v>0</v>
          </cell>
          <cell r="OP61">
            <v>0</v>
          </cell>
          <cell r="OR61">
            <v>0</v>
          </cell>
          <cell r="OT61">
            <v>2031.6875938646697</v>
          </cell>
        </row>
        <row r="62">
          <cell r="A62" t="str">
            <v>Г</v>
          </cell>
          <cell r="B62" t="str">
            <v>1.2.3.2</v>
          </cell>
          <cell r="C62" t="str">
            <v>«Установка приборов учета, класс напряжения 6 (10) кВ, всего, в том числе:»</v>
          </cell>
          <cell r="D62" t="str">
            <v>Г</v>
          </cell>
          <cell r="E62">
            <v>0</v>
          </cell>
          <cell r="H62">
            <v>0</v>
          </cell>
          <cell r="J62">
            <v>852.29004287199996</v>
          </cell>
          <cell r="K62">
            <v>0</v>
          </cell>
          <cell r="L62">
            <v>852.29004287199996</v>
          </cell>
          <cell r="M62">
            <v>0</v>
          </cell>
          <cell r="N62">
            <v>0</v>
          </cell>
          <cell r="O62">
            <v>75.508838269152477</v>
          </cell>
          <cell r="P62">
            <v>178.17639041999999</v>
          </cell>
          <cell r="Q62">
            <v>598.60481432284746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3812.2178934788185</v>
          </cell>
          <cell r="CY62">
            <v>572.7289210797162</v>
          </cell>
          <cell r="CZ62">
            <v>1552.4358180467182</v>
          </cell>
          <cell r="DA62">
            <v>1396.6332410204841</v>
          </cell>
          <cell r="DB62">
            <v>351.73938608438334</v>
          </cell>
          <cell r="DE62">
            <v>0</v>
          </cell>
          <cell r="DG62">
            <v>606.57616354999993</v>
          </cell>
          <cell r="DH62">
            <v>0</v>
          </cell>
          <cell r="DI62">
            <v>606.57616354999993</v>
          </cell>
          <cell r="DJ62">
            <v>38.906113530000006</v>
          </cell>
          <cell r="DK62">
            <v>197.33895278</v>
          </cell>
          <cell r="DL62">
            <v>344.75768944999993</v>
          </cell>
          <cell r="DM62">
            <v>25.573407790000001</v>
          </cell>
          <cell r="DN62">
            <v>277.00832313952753</v>
          </cell>
          <cell r="DS62">
            <v>142.68802315457594</v>
          </cell>
          <cell r="DT62">
            <v>56.493174655273869</v>
          </cell>
          <cell r="DU62">
            <v>49.232590688265262</v>
          </cell>
          <cell r="DV62">
            <v>28.594534641412469</v>
          </cell>
          <cell r="DW62">
            <v>49.232590688265262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870.93788626000003</v>
          </cell>
          <cell r="ED62">
            <v>346.03663713000003</v>
          </cell>
          <cell r="EE62">
            <v>488.22764986999994</v>
          </cell>
          <cell r="EF62">
            <v>24.389055679999998</v>
          </cell>
          <cell r="EG62">
            <v>12.284543580000001</v>
          </cell>
          <cell r="EH62">
            <v>323.89559782000003</v>
          </cell>
          <cell r="EI62">
            <v>224.59279934</v>
          </cell>
          <cell r="EJ62">
            <v>95.952902250000008</v>
          </cell>
          <cell r="EK62">
            <v>0</v>
          </cell>
          <cell r="EL62">
            <v>3.3498962299999997</v>
          </cell>
          <cell r="EM62">
            <v>547.04228843999999</v>
          </cell>
          <cell r="EN62">
            <v>121.44383779</v>
          </cell>
          <cell r="EO62">
            <v>392.27474761999997</v>
          </cell>
          <cell r="EP62">
            <v>24.389055679999998</v>
          </cell>
          <cell r="EQ62">
            <v>8.9346473500000005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3102.5564480438834</v>
          </cell>
          <cell r="FO62">
            <v>0</v>
          </cell>
          <cell r="FP62">
            <v>175.58</v>
          </cell>
          <cell r="FQ62">
            <v>0</v>
          </cell>
          <cell r="FR62">
            <v>697.62100000000009</v>
          </cell>
          <cell r="FS62">
            <v>695.62100000000009</v>
          </cell>
          <cell r="FT62">
            <v>2</v>
          </cell>
          <cell r="FU62">
            <v>0</v>
          </cell>
          <cell r="FV62">
            <v>162</v>
          </cell>
          <cell r="FW62">
            <v>0</v>
          </cell>
          <cell r="FX62">
            <v>162</v>
          </cell>
          <cell r="FZ62">
            <v>604.26295830000004</v>
          </cell>
          <cell r="GA62">
            <v>0</v>
          </cell>
          <cell r="GB62">
            <v>10.842000000000002</v>
          </cell>
          <cell r="GC62">
            <v>0</v>
          </cell>
          <cell r="GD62">
            <v>18.175000000000001</v>
          </cell>
          <cell r="GE62">
            <v>18.175000000000001</v>
          </cell>
          <cell r="GF62">
            <v>0</v>
          </cell>
          <cell r="GG62">
            <v>0</v>
          </cell>
          <cell r="GH62">
            <v>112</v>
          </cell>
          <cell r="GI62">
            <v>0</v>
          </cell>
          <cell r="GJ62">
            <v>112</v>
          </cell>
          <cell r="GK62">
            <v>514.82344348999948</v>
          </cell>
          <cell r="GL62">
            <v>0</v>
          </cell>
          <cell r="GM62">
            <v>0</v>
          </cell>
          <cell r="GN62">
            <v>0</v>
          </cell>
          <cell r="GO62">
            <v>59.307000000000002</v>
          </cell>
          <cell r="GP62">
            <v>59.307000000000002</v>
          </cell>
          <cell r="GQ62">
            <v>0</v>
          </cell>
          <cell r="GR62">
            <v>0</v>
          </cell>
          <cell r="GS62">
            <v>1</v>
          </cell>
          <cell r="GT62">
            <v>0</v>
          </cell>
          <cell r="GU62">
            <v>1</v>
          </cell>
          <cell r="GV62">
            <v>475.62674384858701</v>
          </cell>
          <cell r="GW62">
            <v>0</v>
          </cell>
          <cell r="GX62">
            <v>0</v>
          </cell>
          <cell r="GY62">
            <v>0</v>
          </cell>
          <cell r="GZ62">
            <v>53</v>
          </cell>
          <cell r="HA62">
            <v>53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39.196699641412465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6.3069999999999995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104.98333589000001</v>
          </cell>
          <cell r="IZ62">
            <v>0</v>
          </cell>
          <cell r="JA62">
            <v>0</v>
          </cell>
          <cell r="JB62">
            <v>0</v>
          </cell>
          <cell r="JC62">
            <v>4.1915000000000004</v>
          </cell>
          <cell r="JD62">
            <v>4.1915000000000004</v>
          </cell>
          <cell r="JE62">
            <v>0</v>
          </cell>
          <cell r="JF62">
            <v>0</v>
          </cell>
          <cell r="JG62">
            <v>3</v>
          </cell>
          <cell r="JH62">
            <v>0</v>
          </cell>
          <cell r="JI62">
            <v>3</v>
          </cell>
          <cell r="JJ62">
            <v>2.0477729099999999</v>
          </cell>
          <cell r="JK62">
            <v>0</v>
          </cell>
          <cell r="JL62">
            <v>0</v>
          </cell>
          <cell r="JM62">
            <v>0</v>
          </cell>
          <cell r="JN62">
            <v>0.73250000000000004</v>
          </cell>
          <cell r="JO62">
            <v>0.73250000000000004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102.93556298</v>
          </cell>
          <cell r="JV62">
            <v>0</v>
          </cell>
          <cell r="JW62">
            <v>0</v>
          </cell>
          <cell r="JX62">
            <v>0</v>
          </cell>
          <cell r="JY62">
            <v>3.4590000000000001</v>
          </cell>
          <cell r="JZ62">
            <v>3.4590000000000001</v>
          </cell>
          <cell r="KA62">
            <v>0</v>
          </cell>
          <cell r="KB62">
            <v>0</v>
          </cell>
          <cell r="KC62">
            <v>3</v>
          </cell>
          <cell r="KD62">
            <v>0</v>
          </cell>
          <cell r="KE62">
            <v>3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R62">
            <v>0</v>
          </cell>
          <cell r="OT62">
            <v>2031.6875938646697</v>
          </cell>
        </row>
        <row r="63">
          <cell r="A63" t="str">
            <v>Г</v>
          </cell>
          <cell r="B63" t="str">
            <v>1.2.3.3</v>
          </cell>
          <cell r="C63" t="str">
            <v>«Установка приборов учета, класс напряжения 35 кВ, всего, в том числе:»</v>
          </cell>
          <cell r="D63" t="str">
            <v>Г</v>
          </cell>
          <cell r="E63">
            <v>0</v>
          </cell>
          <cell r="H63">
            <v>0</v>
          </cell>
          <cell r="J63">
            <v>852.29004287199996</v>
          </cell>
          <cell r="K63">
            <v>0</v>
          </cell>
          <cell r="L63">
            <v>852.29004287199996</v>
          </cell>
          <cell r="M63">
            <v>0</v>
          </cell>
          <cell r="N63">
            <v>0</v>
          </cell>
          <cell r="O63">
            <v>75.508838269152477</v>
          </cell>
          <cell r="P63">
            <v>178.17639041999999</v>
          </cell>
          <cell r="Q63">
            <v>598.60481432284746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3812.2178934788185</v>
          </cell>
          <cell r="CY63">
            <v>572.7289210797162</v>
          </cell>
          <cell r="CZ63">
            <v>1552.4358180467182</v>
          </cell>
          <cell r="DA63">
            <v>1396.6332410204841</v>
          </cell>
          <cell r="DB63">
            <v>351.73938608438334</v>
          </cell>
          <cell r="DE63">
            <v>0</v>
          </cell>
          <cell r="DG63">
            <v>606.57616354999993</v>
          </cell>
          <cell r="DH63">
            <v>0</v>
          </cell>
          <cell r="DI63">
            <v>606.57616354999993</v>
          </cell>
          <cell r="DJ63">
            <v>38.906113530000006</v>
          </cell>
          <cell r="DK63">
            <v>197.33895278</v>
          </cell>
          <cell r="DL63">
            <v>344.75768944999993</v>
          </cell>
          <cell r="DM63">
            <v>25.573407790000001</v>
          </cell>
          <cell r="DN63">
            <v>277.00832313952753</v>
          </cell>
          <cell r="DS63">
            <v>142.68802315457594</v>
          </cell>
          <cell r="DT63">
            <v>56.493174655273869</v>
          </cell>
          <cell r="DU63">
            <v>49.232590688265262</v>
          </cell>
          <cell r="DV63">
            <v>28.594534641412469</v>
          </cell>
          <cell r="DW63">
            <v>49.232590688265262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870.93788626000003</v>
          </cell>
          <cell r="ED63">
            <v>346.03663713000003</v>
          </cell>
          <cell r="EE63">
            <v>488.22764986999994</v>
          </cell>
          <cell r="EF63">
            <v>24.389055679999998</v>
          </cell>
          <cell r="EG63">
            <v>12.284543580000001</v>
          </cell>
          <cell r="EH63">
            <v>323.89559782000003</v>
          </cell>
          <cell r="EI63">
            <v>224.59279934</v>
          </cell>
          <cell r="EJ63">
            <v>95.952902250000008</v>
          </cell>
          <cell r="EK63">
            <v>0</v>
          </cell>
          <cell r="EL63">
            <v>3.3498962299999997</v>
          </cell>
          <cell r="EM63">
            <v>547.04228843999999</v>
          </cell>
          <cell r="EN63">
            <v>121.44383779</v>
          </cell>
          <cell r="EO63">
            <v>392.27474761999997</v>
          </cell>
          <cell r="EP63">
            <v>24.389055679999998</v>
          </cell>
          <cell r="EQ63">
            <v>8.9346473500000005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3102.5564480438834</v>
          </cell>
          <cell r="FO63">
            <v>0</v>
          </cell>
          <cell r="FP63">
            <v>175.58</v>
          </cell>
          <cell r="FQ63">
            <v>0</v>
          </cell>
          <cell r="FR63">
            <v>697.62100000000009</v>
          </cell>
          <cell r="FS63">
            <v>695.62100000000009</v>
          </cell>
          <cell r="FT63">
            <v>2</v>
          </cell>
          <cell r="FU63">
            <v>0</v>
          </cell>
          <cell r="FV63">
            <v>162</v>
          </cell>
          <cell r="FW63">
            <v>0</v>
          </cell>
          <cell r="FX63">
            <v>162</v>
          </cell>
          <cell r="FZ63">
            <v>604.26295830000004</v>
          </cell>
          <cell r="GA63">
            <v>0</v>
          </cell>
          <cell r="GB63">
            <v>10.842000000000002</v>
          </cell>
          <cell r="GC63">
            <v>0</v>
          </cell>
          <cell r="GD63">
            <v>18.175000000000001</v>
          </cell>
          <cell r="GE63">
            <v>18.175000000000001</v>
          </cell>
          <cell r="GF63">
            <v>0</v>
          </cell>
          <cell r="GG63">
            <v>0</v>
          </cell>
          <cell r="GH63">
            <v>112</v>
          </cell>
          <cell r="GI63">
            <v>0</v>
          </cell>
          <cell r="GJ63">
            <v>112</v>
          </cell>
          <cell r="GK63">
            <v>514.82344348999948</v>
          </cell>
          <cell r="GL63">
            <v>0</v>
          </cell>
          <cell r="GM63">
            <v>0</v>
          </cell>
          <cell r="GN63">
            <v>0</v>
          </cell>
          <cell r="GO63">
            <v>59.307000000000002</v>
          </cell>
          <cell r="GP63">
            <v>59.307000000000002</v>
          </cell>
          <cell r="GQ63">
            <v>0</v>
          </cell>
          <cell r="GR63">
            <v>0</v>
          </cell>
          <cell r="GS63">
            <v>1</v>
          </cell>
          <cell r="GT63">
            <v>0</v>
          </cell>
          <cell r="GU63">
            <v>1</v>
          </cell>
          <cell r="GV63">
            <v>475.62674384858701</v>
          </cell>
          <cell r="GW63">
            <v>0</v>
          </cell>
          <cell r="GX63">
            <v>0</v>
          </cell>
          <cell r="GY63">
            <v>0</v>
          </cell>
          <cell r="GZ63">
            <v>53</v>
          </cell>
          <cell r="HA63">
            <v>53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39.196699641412465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6.3069999999999995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104.98333589000001</v>
          </cell>
          <cell r="IZ63">
            <v>0</v>
          </cell>
          <cell r="JA63">
            <v>0</v>
          </cell>
          <cell r="JB63">
            <v>0</v>
          </cell>
          <cell r="JC63">
            <v>4.1915000000000004</v>
          </cell>
          <cell r="JD63">
            <v>4.1915000000000004</v>
          </cell>
          <cell r="JE63">
            <v>0</v>
          </cell>
          <cell r="JF63">
            <v>0</v>
          </cell>
          <cell r="JG63">
            <v>3</v>
          </cell>
          <cell r="JH63">
            <v>0</v>
          </cell>
          <cell r="JI63">
            <v>3</v>
          </cell>
          <cell r="JJ63">
            <v>2.0477729099999999</v>
          </cell>
          <cell r="JK63">
            <v>0</v>
          </cell>
          <cell r="JL63">
            <v>0</v>
          </cell>
          <cell r="JM63">
            <v>0</v>
          </cell>
          <cell r="JN63">
            <v>0.73250000000000004</v>
          </cell>
          <cell r="JO63">
            <v>0.73250000000000004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102.93556298</v>
          </cell>
          <cell r="JV63">
            <v>0</v>
          </cell>
          <cell r="JW63">
            <v>0</v>
          </cell>
          <cell r="JX63">
            <v>0</v>
          </cell>
          <cell r="JY63">
            <v>3.4590000000000001</v>
          </cell>
          <cell r="JZ63">
            <v>3.4590000000000001</v>
          </cell>
          <cell r="KA63">
            <v>0</v>
          </cell>
          <cell r="KB63">
            <v>0</v>
          </cell>
          <cell r="KC63">
            <v>3</v>
          </cell>
          <cell r="KD63">
            <v>0</v>
          </cell>
          <cell r="KE63">
            <v>3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0</v>
          </cell>
          <cell r="OR63">
            <v>0</v>
          </cell>
          <cell r="OT63">
            <v>2031.6875938646697</v>
          </cell>
        </row>
        <row r="64">
          <cell r="A64" t="str">
            <v>Г</v>
          </cell>
          <cell r="B64" t="str">
            <v>1.2.3.4</v>
          </cell>
          <cell r="C64" t="str">
            <v>«Установка приборов учета, класс напряжения 110 кВ и выше, всего, в том числе:»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870.93788626000003</v>
          </cell>
          <cell r="ED64">
            <v>346.03663713000003</v>
          </cell>
          <cell r="EE64">
            <v>488.22764986999994</v>
          </cell>
          <cell r="EF64">
            <v>24.389055679999998</v>
          </cell>
          <cell r="EG64">
            <v>12.284543580000001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104.98333589000001</v>
          </cell>
          <cell r="IZ64">
            <v>0</v>
          </cell>
          <cell r="JA64">
            <v>0</v>
          </cell>
          <cell r="JB64">
            <v>0</v>
          </cell>
          <cell r="JC64">
            <v>4.1915000000000004</v>
          </cell>
          <cell r="JD64">
            <v>4.1915000000000004</v>
          </cell>
          <cell r="JE64">
            <v>0</v>
          </cell>
          <cell r="JF64">
            <v>0</v>
          </cell>
          <cell r="JG64">
            <v>3</v>
          </cell>
          <cell r="JH64">
            <v>0</v>
          </cell>
          <cell r="JI64">
            <v>3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2031.6875938646697</v>
          </cell>
        </row>
        <row r="65">
          <cell r="A65" t="str">
            <v>Г</v>
          </cell>
          <cell r="B65" t="str">
            <v>1.2.3.5</v>
          </cell>
          <cell r="C65" t="str">
            <v>«Включение приборов учета в систему сбора и передачи данных, класс напряжения 0,22 (0,4) кВ, всего, в том числе:»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870.93788626000003</v>
          </cell>
          <cell r="ED65">
            <v>346.03663713000003</v>
          </cell>
          <cell r="EE65">
            <v>488.22764986999994</v>
          </cell>
          <cell r="EF65">
            <v>24.389055679999998</v>
          </cell>
          <cell r="EG65">
            <v>12.284543580000001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104.98333589000001</v>
          </cell>
          <cell r="IZ65">
            <v>0</v>
          </cell>
          <cell r="JA65">
            <v>0</v>
          </cell>
          <cell r="JB65">
            <v>0</v>
          </cell>
          <cell r="JC65">
            <v>4.1915000000000004</v>
          </cell>
          <cell r="JD65">
            <v>4.1915000000000004</v>
          </cell>
          <cell r="JE65">
            <v>0</v>
          </cell>
          <cell r="JF65">
            <v>0</v>
          </cell>
          <cell r="JG65">
            <v>3</v>
          </cell>
          <cell r="JH65">
            <v>0</v>
          </cell>
          <cell r="JI65">
            <v>3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2031.6875938646697</v>
          </cell>
        </row>
        <row r="66">
          <cell r="A66" t="str">
            <v>Г</v>
          </cell>
          <cell r="B66" t="str">
            <v>1.2.3.6</v>
          </cell>
          <cell r="C66" t="str">
            <v>«Включение приборов учета в систему сбора и передачи данных, класс напряжения 6 (10) кВ, всего, в том числе:»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870.93788626000003</v>
          </cell>
          <cell r="ED66">
            <v>346.03663713000003</v>
          </cell>
          <cell r="EE66">
            <v>488.22764986999994</v>
          </cell>
          <cell r="EF66">
            <v>24.389055679999998</v>
          </cell>
          <cell r="EG66">
            <v>12.284543580000001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104.98333589000001</v>
          </cell>
          <cell r="IZ66">
            <v>0</v>
          </cell>
          <cell r="JA66">
            <v>0</v>
          </cell>
          <cell r="JB66">
            <v>0</v>
          </cell>
          <cell r="JC66">
            <v>4.1915000000000004</v>
          </cell>
          <cell r="JD66">
            <v>4.1915000000000004</v>
          </cell>
          <cell r="JE66">
            <v>0</v>
          </cell>
          <cell r="JF66">
            <v>0</v>
          </cell>
          <cell r="JG66">
            <v>3</v>
          </cell>
          <cell r="JH66">
            <v>0</v>
          </cell>
          <cell r="JI66">
            <v>3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2031.6875938646697</v>
          </cell>
        </row>
        <row r="67">
          <cell r="A67" t="str">
            <v>Г</v>
          </cell>
          <cell r="B67" t="str">
            <v>1.2.3.7</v>
          </cell>
          <cell r="C67" t="str">
            <v>«Включение приборов учета в систему сбора и передачи данных, класс напряжения 35 кВ, всего, в том числе:»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870.93788626000003</v>
          </cell>
          <cell r="ED67">
            <v>346.03663713000003</v>
          </cell>
          <cell r="EE67">
            <v>488.22764986999994</v>
          </cell>
          <cell r="EF67">
            <v>24.389055679999998</v>
          </cell>
          <cell r="EG67">
            <v>12.284543580000001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104.98333589000001</v>
          </cell>
          <cell r="IZ67">
            <v>0</v>
          </cell>
          <cell r="JA67">
            <v>0</v>
          </cell>
          <cell r="JB67">
            <v>0</v>
          </cell>
          <cell r="JC67">
            <v>4.1915000000000004</v>
          </cell>
          <cell r="JD67">
            <v>4.1915000000000004</v>
          </cell>
          <cell r="JE67">
            <v>0</v>
          </cell>
          <cell r="JF67">
            <v>0</v>
          </cell>
          <cell r="JG67">
            <v>3</v>
          </cell>
          <cell r="JH67">
            <v>0</v>
          </cell>
          <cell r="JI67">
            <v>3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2031.6875938646697</v>
          </cell>
        </row>
        <row r="68">
          <cell r="A68" t="str">
            <v>Г</v>
          </cell>
          <cell r="B68" t="str">
            <v>1.2.3.8</v>
          </cell>
          <cell r="C68" t="str">
            <v>«Включение приборов учета в систему сбора и передачи данных, класс напряжения 110 кВ и выше,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870.93788626000003</v>
          </cell>
          <cell r="ED68">
            <v>346.03663713000003</v>
          </cell>
          <cell r="EE68">
            <v>488.22764986999994</v>
          </cell>
          <cell r="EF68">
            <v>24.389055679999998</v>
          </cell>
          <cell r="EG68">
            <v>12.284543580000001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104.98333589000001</v>
          </cell>
          <cell r="IZ68">
            <v>0</v>
          </cell>
          <cell r="JA68">
            <v>0</v>
          </cell>
          <cell r="JB68">
            <v>0</v>
          </cell>
          <cell r="JC68">
            <v>4.1915000000000004</v>
          </cell>
          <cell r="JD68">
            <v>4.1915000000000004</v>
          </cell>
          <cell r="JE68">
            <v>0</v>
          </cell>
          <cell r="JF68">
            <v>0</v>
          </cell>
          <cell r="JG68">
            <v>3</v>
          </cell>
          <cell r="JH68">
            <v>0</v>
          </cell>
          <cell r="JI68">
            <v>3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2031.6875938646697</v>
          </cell>
        </row>
        <row r="69">
          <cell r="A69" t="str">
            <v>Г</v>
          </cell>
          <cell r="B69" t="str">
            <v>1.2.4</v>
          </cell>
          <cell r="C69" t="str">
            <v>Реконструкция, модернизация, техническое перевооружение прочих объектов основных средств, всего, в том числе:</v>
          </cell>
          <cell r="D69" t="str">
            <v>Г</v>
          </cell>
          <cell r="E69">
            <v>11.799999999999999</v>
          </cell>
          <cell r="H69">
            <v>0</v>
          </cell>
          <cell r="J69">
            <v>864.09004287199991</v>
          </cell>
          <cell r="K69">
            <v>11.799999999999999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11.8</v>
          </cell>
          <cell r="S69">
            <v>0</v>
          </cell>
          <cell r="T69">
            <v>0</v>
          </cell>
          <cell r="U69">
            <v>10</v>
          </cell>
          <cell r="V69">
            <v>0</v>
          </cell>
          <cell r="W69">
            <v>1.8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11.8</v>
          </cell>
          <cell r="AQ69">
            <v>0</v>
          </cell>
          <cell r="AR69">
            <v>0</v>
          </cell>
          <cell r="AS69">
            <v>10</v>
          </cell>
          <cell r="AT69">
            <v>0</v>
          </cell>
          <cell r="AU69">
            <v>1.8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>
            <v>4</v>
          </cell>
          <cell r="BF69" t="str">
            <v>4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616.57616354999993</v>
          </cell>
          <cell r="DH69">
            <v>10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870.93788626000003</v>
          </cell>
          <cell r="ED69">
            <v>346.03663713000003</v>
          </cell>
          <cell r="EE69">
            <v>488.22764986999994</v>
          </cell>
          <cell r="EF69">
            <v>24.389055679999998</v>
          </cell>
          <cell r="EG69">
            <v>12.284543580000001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>
            <v>2</v>
          </cell>
          <cell r="FI69" t="str">
            <v/>
          </cell>
          <cell r="FJ69" t="str">
            <v/>
          </cell>
          <cell r="FK69" t="str">
            <v>2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104.98333589000001</v>
          </cell>
          <cell r="IZ69">
            <v>0</v>
          </cell>
          <cell r="JA69">
            <v>0</v>
          </cell>
          <cell r="JB69">
            <v>0</v>
          </cell>
          <cell r="JC69">
            <v>4.1915000000000004</v>
          </cell>
          <cell r="JD69">
            <v>4.1915000000000004</v>
          </cell>
          <cell r="JE69">
            <v>0</v>
          </cell>
          <cell r="JF69">
            <v>0</v>
          </cell>
          <cell r="JG69">
            <v>3</v>
          </cell>
          <cell r="JH69">
            <v>0</v>
          </cell>
          <cell r="JI69">
            <v>3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2031.6875938646697</v>
          </cell>
        </row>
        <row r="70">
          <cell r="A70" t="str">
            <v>Г</v>
          </cell>
          <cell r="B70" t="str">
            <v>1.2.4.1</v>
          </cell>
          <cell r="C70" t="str">
            <v>Реконструкция прочих объектов основных средств, всего, в том числе: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870.93788626000003</v>
          </cell>
          <cell r="ED70">
            <v>346.03663713000003</v>
          </cell>
          <cell r="EE70">
            <v>488.22764986999994</v>
          </cell>
          <cell r="EF70">
            <v>24.389055679999998</v>
          </cell>
          <cell r="EG70">
            <v>12.284543580000001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104.98333589000001</v>
          </cell>
          <cell r="IZ70">
            <v>0</v>
          </cell>
          <cell r="JA70">
            <v>0</v>
          </cell>
          <cell r="JB70">
            <v>0</v>
          </cell>
          <cell r="JC70">
            <v>4.1915000000000004</v>
          </cell>
          <cell r="JD70">
            <v>4.1915000000000004</v>
          </cell>
          <cell r="JE70">
            <v>0</v>
          </cell>
          <cell r="JF70">
            <v>0</v>
          </cell>
          <cell r="JG70">
            <v>3</v>
          </cell>
          <cell r="JH70">
            <v>0</v>
          </cell>
          <cell r="JI70">
            <v>3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2031.6875938646697</v>
          </cell>
        </row>
        <row r="71">
          <cell r="A71" t="str">
            <v>Г</v>
          </cell>
          <cell r="B71" t="str">
            <v>1.2.4.2</v>
          </cell>
          <cell r="C71" t="str">
            <v>Модернизация, техническое перевооружение прочих объектов основных средств, всего, в том числе:</v>
          </cell>
          <cell r="D71" t="str">
            <v>Г</v>
          </cell>
          <cell r="E71">
            <v>11.799999999999999</v>
          </cell>
          <cell r="H71">
            <v>0</v>
          </cell>
          <cell r="J71">
            <v>864.09004287199991</v>
          </cell>
          <cell r="K71">
            <v>11.799999999999999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11.8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1.8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11.8</v>
          </cell>
          <cell r="AQ71">
            <v>0</v>
          </cell>
          <cell r="AR71">
            <v>0</v>
          </cell>
          <cell r="AS71">
            <v>10</v>
          </cell>
          <cell r="AT71">
            <v>0</v>
          </cell>
          <cell r="AU71">
            <v>1.8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>
            <v>4</v>
          </cell>
          <cell r="BF71" t="str">
            <v>4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616.57616354999993</v>
          </cell>
          <cell r="DH71">
            <v>10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870.93788626000003</v>
          </cell>
          <cell r="ED71">
            <v>346.03663713000003</v>
          </cell>
          <cell r="EE71">
            <v>488.22764986999994</v>
          </cell>
          <cell r="EF71">
            <v>24.389055679999998</v>
          </cell>
          <cell r="EG71">
            <v>12.284543580000001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>
            <v>2</v>
          </cell>
          <cell r="FI71" t="str">
            <v/>
          </cell>
          <cell r="FJ71" t="str">
            <v/>
          </cell>
          <cell r="FK71" t="str">
            <v>2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104.98333589000001</v>
          </cell>
          <cell r="IZ71">
            <v>0</v>
          </cell>
          <cell r="JA71">
            <v>0</v>
          </cell>
          <cell r="JB71">
            <v>0</v>
          </cell>
          <cell r="JC71">
            <v>4.1915000000000004</v>
          </cell>
          <cell r="JD71">
            <v>4.1915000000000004</v>
          </cell>
          <cell r="JE71">
            <v>0</v>
          </cell>
          <cell r="JF71">
            <v>0</v>
          </cell>
          <cell r="JG71">
            <v>3</v>
          </cell>
          <cell r="JH71">
            <v>0</v>
          </cell>
          <cell r="JI71">
            <v>3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2031.6875938646697</v>
          </cell>
        </row>
        <row r="72">
          <cell r="A72" t="str">
            <v>F_prj_109108_49014</v>
          </cell>
          <cell r="B72" t="str">
            <v>1.2.4.2</v>
          </cell>
          <cell r="C72" t="str">
            <v>Модернизация системы сбора и передачи информации 1-ая очередь АО "Чеченэнерго" на  ПС"№84"</v>
          </cell>
          <cell r="D72" t="str">
            <v>F_prj_109108_49014</v>
          </cell>
          <cell r="E72">
            <v>11.799999999999999</v>
          </cell>
          <cell r="H72">
            <v>0</v>
          </cell>
          <cell r="J72">
            <v>11.799999999999999</v>
          </cell>
          <cell r="K72">
            <v>11.799999999999999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11.8</v>
          </cell>
          <cell r="S72">
            <v>0</v>
          </cell>
          <cell r="T72">
            <v>0</v>
          </cell>
          <cell r="U72">
            <v>10</v>
          </cell>
          <cell r="V72">
            <v>0</v>
          </cell>
          <cell r="W72">
            <v>1.8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11.8</v>
          </cell>
          <cell r="AQ72">
            <v>0</v>
          </cell>
          <cell r="AR72">
            <v>0</v>
          </cell>
          <cell r="AS72">
            <v>10</v>
          </cell>
          <cell r="AT72">
            <v>0</v>
          </cell>
          <cell r="AU72">
            <v>1.8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>
            <v>4</v>
          </cell>
          <cell r="BF72" t="str">
            <v>4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10</v>
          </cell>
          <cell r="CY72">
            <v>0.6</v>
          </cell>
          <cell r="CZ72">
            <v>5</v>
          </cell>
          <cell r="DA72">
            <v>3</v>
          </cell>
          <cell r="DB72">
            <v>1.4000000000000001</v>
          </cell>
          <cell r="DE72">
            <v>0</v>
          </cell>
          <cell r="DG72">
            <v>10</v>
          </cell>
          <cell r="DH72">
            <v>10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10</v>
          </cell>
          <cell r="DS72">
            <v>0</v>
          </cell>
          <cell r="DT72">
            <v>0</v>
          </cell>
          <cell r="DU72">
            <v>10</v>
          </cell>
          <cell r="DV72">
            <v>0</v>
          </cell>
          <cell r="DW72">
            <v>10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>
            <v>2</v>
          </cell>
          <cell r="FI72" t="str">
            <v/>
          </cell>
          <cell r="FJ72" t="str">
            <v/>
          </cell>
          <cell r="FK72" t="str">
            <v>2</v>
          </cell>
          <cell r="FN72">
            <v>10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</v>
          </cell>
          <cell r="FW72">
            <v>0</v>
          </cell>
          <cell r="FX72">
            <v>1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10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10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2019</v>
          </cell>
          <cell r="ON72">
            <v>2019</v>
          </cell>
          <cell r="OO72">
            <v>2019</v>
          </cell>
          <cell r="OP72" t="str">
            <v>п</v>
          </cell>
          <cell r="OR72">
            <v>0</v>
          </cell>
          <cell r="OT72">
            <v>11.799999999999999</v>
          </cell>
        </row>
        <row r="73">
          <cell r="A73" t="str">
            <v>Г</v>
          </cell>
          <cell r="B73" t="str">
            <v>1.3</v>
          </cell>
          <cell r="C7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870.93788626000003</v>
          </cell>
          <cell r="ED73">
            <v>346.03663713000003</v>
          </cell>
          <cell r="EE73">
            <v>488.22764986999994</v>
          </cell>
          <cell r="EF73">
            <v>24.389055679999998</v>
          </cell>
          <cell r="EG73">
            <v>12.284543580000001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104.98333589000001</v>
          </cell>
          <cell r="IZ73">
            <v>0</v>
          </cell>
          <cell r="JA73">
            <v>0</v>
          </cell>
          <cell r="JB73">
            <v>0</v>
          </cell>
          <cell r="JC73">
            <v>4.1915000000000004</v>
          </cell>
          <cell r="JD73">
            <v>4.1915000000000004</v>
          </cell>
          <cell r="JE73">
            <v>0</v>
          </cell>
          <cell r="JF73">
            <v>0</v>
          </cell>
          <cell r="JG73">
            <v>3</v>
          </cell>
          <cell r="JH73">
            <v>0</v>
          </cell>
          <cell r="JI73">
            <v>3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2031.6875938646697</v>
          </cell>
        </row>
        <row r="74">
          <cell r="A74" t="str">
            <v>Г</v>
          </cell>
          <cell r="B74" t="str">
            <v>1.3.1</v>
          </cell>
          <cell r="C7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870.93788626000003</v>
          </cell>
          <cell r="ED74">
            <v>346.03663713000003</v>
          </cell>
          <cell r="EE74">
            <v>488.22764986999994</v>
          </cell>
          <cell r="EF74">
            <v>24.389055679999998</v>
          </cell>
          <cell r="EG74">
            <v>12.284543580000001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104.98333589000001</v>
          </cell>
          <cell r="IZ74">
            <v>0</v>
          </cell>
          <cell r="JA74">
            <v>0</v>
          </cell>
          <cell r="JB74">
            <v>0</v>
          </cell>
          <cell r="JC74">
            <v>4.1915000000000004</v>
          </cell>
          <cell r="JD74">
            <v>4.1915000000000004</v>
          </cell>
          <cell r="JE74">
            <v>0</v>
          </cell>
          <cell r="JF74">
            <v>0</v>
          </cell>
          <cell r="JG74">
            <v>3</v>
          </cell>
          <cell r="JH74">
            <v>0</v>
          </cell>
          <cell r="JI74">
            <v>3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2031.6875938646697</v>
          </cell>
        </row>
        <row r="75">
          <cell r="A75" t="str">
            <v>Г</v>
          </cell>
          <cell r="B75" t="str">
            <v>1.3.2</v>
          </cell>
          <cell r="C7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870.93788626000003</v>
          </cell>
          <cell r="ED75">
            <v>346.03663713000003</v>
          </cell>
          <cell r="EE75">
            <v>488.22764986999994</v>
          </cell>
          <cell r="EF75">
            <v>24.389055679999998</v>
          </cell>
          <cell r="EG75">
            <v>12.284543580000001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104.98333589000001</v>
          </cell>
          <cell r="IZ75">
            <v>0</v>
          </cell>
          <cell r="JA75">
            <v>0</v>
          </cell>
          <cell r="JB75">
            <v>0</v>
          </cell>
          <cell r="JC75">
            <v>4.1915000000000004</v>
          </cell>
          <cell r="JD75">
            <v>4.1915000000000004</v>
          </cell>
          <cell r="JE75">
            <v>0</v>
          </cell>
          <cell r="JF75">
            <v>0</v>
          </cell>
          <cell r="JG75">
            <v>3</v>
          </cell>
          <cell r="JH75">
            <v>0</v>
          </cell>
          <cell r="JI75">
            <v>3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2031.6875938646697</v>
          </cell>
        </row>
        <row r="76">
          <cell r="A76" t="str">
            <v>Г</v>
          </cell>
          <cell r="B76" t="str">
            <v>1.4</v>
          </cell>
          <cell r="C76" t="str">
            <v>Прочее новое строительство объектов электросетевого хозяйства,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852.29004287199996</v>
          </cell>
          <cell r="K76">
            <v>0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606.57616354999993</v>
          </cell>
          <cell r="DH76">
            <v>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870.93788626000003</v>
          </cell>
          <cell r="ED76">
            <v>346.03663713000003</v>
          </cell>
          <cell r="EE76">
            <v>488.22764986999994</v>
          </cell>
          <cell r="EF76">
            <v>24.389055679999998</v>
          </cell>
          <cell r="EG76">
            <v>12.284543580000001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104.98333589000001</v>
          </cell>
          <cell r="IZ76">
            <v>0</v>
          </cell>
          <cell r="JA76">
            <v>0</v>
          </cell>
          <cell r="JB76">
            <v>0</v>
          </cell>
          <cell r="JC76">
            <v>4.1915000000000004</v>
          </cell>
          <cell r="JD76">
            <v>4.1915000000000004</v>
          </cell>
          <cell r="JE76">
            <v>0</v>
          </cell>
          <cell r="JF76">
            <v>0</v>
          </cell>
          <cell r="JG76">
            <v>3</v>
          </cell>
          <cell r="JH76">
            <v>0</v>
          </cell>
          <cell r="JI76">
            <v>3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2031.6875938646697</v>
          </cell>
        </row>
        <row r="77">
          <cell r="A77" t="str">
            <v>Г</v>
          </cell>
          <cell r="B77" t="str">
            <v>1.5</v>
          </cell>
          <cell r="C77" t="str">
            <v>Покупка земельных участков для целей реализации инвестиционных проектов,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870.93788626000003</v>
          </cell>
          <cell r="ED77">
            <v>346.03663713000003</v>
          </cell>
          <cell r="EE77">
            <v>488.22764986999994</v>
          </cell>
          <cell r="EF77">
            <v>24.389055679999998</v>
          </cell>
          <cell r="EG77">
            <v>12.284543580000001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104.98333589000001</v>
          </cell>
          <cell r="IZ77">
            <v>0</v>
          </cell>
          <cell r="JA77">
            <v>0</v>
          </cell>
          <cell r="JB77">
            <v>0</v>
          </cell>
          <cell r="JC77">
            <v>4.1915000000000004</v>
          </cell>
          <cell r="JD77">
            <v>4.1915000000000004</v>
          </cell>
          <cell r="JE77">
            <v>0</v>
          </cell>
          <cell r="JF77">
            <v>0</v>
          </cell>
          <cell r="JG77">
            <v>3</v>
          </cell>
          <cell r="JH77">
            <v>0</v>
          </cell>
          <cell r="JI77">
            <v>3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2031.6875938646697</v>
          </cell>
        </row>
        <row r="78">
          <cell r="A78" t="str">
            <v>Г</v>
          </cell>
          <cell r="B78" t="str">
            <v>1.6</v>
          </cell>
          <cell r="C78" t="str">
            <v>Прочие инвестиционные проекты, всего, в том числе:</v>
          </cell>
          <cell r="D78" t="str">
            <v>Г</v>
          </cell>
          <cell r="E78">
            <v>919.02739851642309</v>
          </cell>
          <cell r="H78">
            <v>681.33265381399997</v>
          </cell>
          <cell r="J78">
            <v>1448.0801169724232</v>
          </cell>
          <cell r="K78">
            <v>595.79007410042311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66.661946093223165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66.661946093223165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66.661946093223165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66.661946093223165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>
            <v>2</v>
          </cell>
          <cell r="BD78" t="str">
            <v/>
          </cell>
          <cell r="BE78" t="str">
            <v/>
          </cell>
          <cell r="BF78" t="str">
            <v>2</v>
          </cell>
          <cell r="BG78">
            <v>358.09532939000002</v>
          </cell>
          <cell r="BH78">
            <v>0</v>
          </cell>
          <cell r="BI78">
            <v>0</v>
          </cell>
          <cell r="BJ78">
            <v>101.84024169333334</v>
          </cell>
          <cell r="BK78">
            <v>0</v>
          </cell>
          <cell r="BL78">
            <v>256.25508769666664</v>
          </cell>
          <cell r="BM78">
            <v>32.025607569999998</v>
          </cell>
          <cell r="BN78">
            <v>0</v>
          </cell>
          <cell r="BO78">
            <v>0</v>
          </cell>
          <cell r="BP78">
            <v>1.58</v>
          </cell>
          <cell r="BQ78">
            <v>0</v>
          </cell>
          <cell r="BR78">
            <v>30.44560757</v>
          </cell>
          <cell r="BS78">
            <v>326.06972181999998</v>
          </cell>
          <cell r="BT78">
            <v>0</v>
          </cell>
          <cell r="BU78">
            <v>0</v>
          </cell>
          <cell r="BV78">
            <v>100.26024169333334</v>
          </cell>
          <cell r="BW78">
            <v>0</v>
          </cell>
          <cell r="BX78">
            <v>225.80948012666667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1</v>
          </cell>
          <cell r="CR78">
            <v>2</v>
          </cell>
          <cell r="CS78" t="str">
            <v/>
          </cell>
          <cell r="CT78" t="str">
            <v/>
          </cell>
          <cell r="CU78" t="str">
            <v>1 2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691.16186336999999</v>
          </cell>
          <cell r="DG78">
            <v>1050.4982722601014</v>
          </cell>
          <cell r="DH78">
            <v>443.92210871010155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>
            <v>1</v>
          </cell>
          <cell r="DY78">
            <v>2</v>
          </cell>
          <cell r="DZ78" t="str">
            <v/>
          </cell>
          <cell r="EA78" t="str">
            <v/>
          </cell>
          <cell r="EB78" t="str">
            <v>1 2</v>
          </cell>
          <cell r="EC78">
            <v>870.93788626000003</v>
          </cell>
          <cell r="ED78">
            <v>346.03663713000003</v>
          </cell>
          <cell r="EE78">
            <v>488.22764986999994</v>
          </cell>
          <cell r="EF78">
            <v>24.389055679999998</v>
          </cell>
          <cell r="EG78">
            <v>12.284543580000001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1</v>
          </cell>
          <cell r="FH78" t="str">
            <v/>
          </cell>
          <cell r="FI78" t="str">
            <v/>
          </cell>
          <cell r="FJ78" t="str">
            <v/>
          </cell>
          <cell r="FK78" t="str">
            <v>1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104.98333589000001</v>
          </cell>
          <cell r="IZ78">
            <v>0</v>
          </cell>
          <cell r="JA78">
            <v>0</v>
          </cell>
          <cell r="JB78">
            <v>0</v>
          </cell>
          <cell r="JC78">
            <v>4.1915000000000004</v>
          </cell>
          <cell r="JD78">
            <v>4.1915000000000004</v>
          </cell>
          <cell r="JE78">
            <v>0</v>
          </cell>
          <cell r="JF78">
            <v>0</v>
          </cell>
          <cell r="JG78">
            <v>3</v>
          </cell>
          <cell r="JH78">
            <v>0</v>
          </cell>
          <cell r="JI78">
            <v>3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2031.6875938646697</v>
          </cell>
        </row>
        <row r="79">
          <cell r="A79" t="str">
            <v>I_Che146</v>
          </cell>
          <cell r="B79" t="str">
            <v>1.6</v>
          </cell>
          <cell r="C79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79" t="str">
            <v>I_Che146</v>
          </cell>
          <cell r="E79">
            <v>41.579575626729742</v>
          </cell>
          <cell r="H79">
            <v>0</v>
          </cell>
          <cell r="J79">
            <v>41.579575626729742</v>
          </cell>
          <cell r="K79">
            <v>41.579575626729742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41.579575626729742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41.579575626729742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41.579575626729742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41.579575626729742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>
            <v>2</v>
          </cell>
          <cell r="BD79" t="str">
            <v/>
          </cell>
          <cell r="BE79" t="str">
            <v/>
          </cell>
          <cell r="BF79" t="str">
            <v>2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35.236928497228597</v>
          </cell>
          <cell r="CY79">
            <v>35.236928497228597</v>
          </cell>
          <cell r="CZ79">
            <v>0</v>
          </cell>
          <cell r="DA79">
            <v>0</v>
          </cell>
          <cell r="DB79">
            <v>0</v>
          </cell>
          <cell r="DE79">
            <v>0</v>
          </cell>
          <cell r="DG79">
            <v>35.236928497228597</v>
          </cell>
          <cell r="DH79">
            <v>35.236928497228597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35.236928497228597</v>
          </cell>
          <cell r="DS79">
            <v>0</v>
          </cell>
          <cell r="DT79">
            <v>35.236928497228597</v>
          </cell>
          <cell r="DU79">
            <v>0</v>
          </cell>
          <cell r="DV79">
            <v>0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1</v>
          </cell>
          <cell r="FH79" t="str">
            <v/>
          </cell>
          <cell r="FI79" t="str">
            <v/>
          </cell>
          <cell r="FJ79" t="str">
            <v/>
          </cell>
          <cell r="FK79" t="str">
            <v>1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2020</v>
          </cell>
          <cell r="ON79">
            <v>2020</v>
          </cell>
          <cell r="OO79">
            <v>2020</v>
          </cell>
          <cell r="OP79" t="str">
            <v>п</v>
          </cell>
          <cell r="OR79">
            <v>0</v>
          </cell>
          <cell r="OT79">
            <v>41.579575626729742</v>
          </cell>
        </row>
        <row r="80">
          <cell r="A80" t="str">
            <v>J_Che252_19</v>
          </cell>
          <cell r="B80" t="str">
            <v>1.6</v>
          </cell>
          <cell r="C80" t="str">
            <v>Приобретение переплетной системы с устройством обжатия корешка - 2 шт.</v>
          </cell>
          <cell r="D80" t="str">
            <v>J_Che252_19</v>
          </cell>
          <cell r="E80" t="str">
            <v>нд</v>
          </cell>
          <cell r="H80">
            <v>9.9500000000000005E-2</v>
          </cell>
          <cell r="J80">
            <v>9.9500000000000005E-2</v>
          </cell>
          <cell r="K80">
            <v>9.9500000000000005E-2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>
            <v>1</v>
          </cell>
          <cell r="BC80">
            <v>2</v>
          </cell>
          <cell r="BD80">
            <v>3</v>
          </cell>
          <cell r="BE80">
            <v>4</v>
          </cell>
          <cell r="BF80" t="str">
            <v>1 2 3 4</v>
          </cell>
          <cell r="BG80">
            <v>9.9500000000000005E-2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9.9500000000000005E-2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9.9500000000000005E-2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9.9500000000000005E-2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>
            <v>2</v>
          </cell>
          <cell r="CS80" t="str">
            <v/>
          </cell>
          <cell r="CT80" t="str">
            <v/>
          </cell>
          <cell r="CU80" t="str">
            <v>2</v>
          </cell>
          <cell r="CX80" t="str">
            <v>нд</v>
          </cell>
          <cell r="CY80" t="str">
            <v>нд</v>
          </cell>
          <cell r="CZ80" t="str">
            <v>нд</v>
          </cell>
          <cell r="DA80" t="str">
            <v>нд</v>
          </cell>
          <cell r="DB80" t="str">
            <v>нд</v>
          </cell>
          <cell r="DE80">
            <v>8.2916660000000003E-2</v>
          </cell>
          <cell r="DG80">
            <v>8.2916660000000003E-2</v>
          </cell>
          <cell r="DH80">
            <v>8.2916660000000003E-2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 t="str">
            <v>нд</v>
          </cell>
          <cell r="DS80" t="str">
            <v>нд</v>
          </cell>
          <cell r="DT80" t="str">
            <v>нд</v>
          </cell>
          <cell r="DU80" t="str">
            <v>нд</v>
          </cell>
          <cell r="DV80" t="str">
            <v>нд</v>
          </cell>
          <cell r="DW80" t="str">
            <v>нд</v>
          </cell>
          <cell r="DX80" t="str">
            <v/>
          </cell>
          <cell r="DY80">
            <v>2</v>
          </cell>
          <cell r="DZ80" t="str">
            <v/>
          </cell>
          <cell r="EA80" t="str">
            <v/>
          </cell>
          <cell r="EB80" t="str">
            <v>2</v>
          </cell>
          <cell r="EC80">
            <v>8.2916660000000003E-2</v>
          </cell>
          <cell r="ED80">
            <v>0</v>
          </cell>
          <cell r="EE80">
            <v>0</v>
          </cell>
          <cell r="EF80">
            <v>8.2916660000000003E-2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8.2916660000000003E-2</v>
          </cell>
          <cell r="EN80">
            <v>0</v>
          </cell>
          <cell r="EO80">
            <v>0</v>
          </cell>
          <cell r="EP80">
            <v>8.2916660000000003E-2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1</v>
          </cell>
          <cell r="FH80">
            <v>2</v>
          </cell>
          <cell r="FI80">
            <v>3</v>
          </cell>
          <cell r="FJ80">
            <v>4</v>
          </cell>
          <cell r="FK80" t="str">
            <v>1 2 3 4</v>
          </cell>
          <cell r="FN80" t="str">
            <v>нд</v>
          </cell>
          <cell r="FO80" t="str">
            <v>нд</v>
          </cell>
          <cell r="FP80" t="str">
            <v>нд</v>
          </cell>
          <cell r="FQ80" t="str">
            <v>нд</v>
          </cell>
          <cell r="FR80" t="str">
            <v>нд</v>
          </cell>
          <cell r="FS80" t="str">
            <v>нд</v>
          </cell>
          <cell r="FT80" t="str">
            <v>нд</v>
          </cell>
          <cell r="FU80" t="str">
            <v>нд</v>
          </cell>
          <cell r="FV80" t="str">
            <v>нд</v>
          </cell>
          <cell r="FW80" t="str">
            <v>нд</v>
          </cell>
          <cell r="FX80" t="str">
            <v>нд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 t="str">
            <v>нд</v>
          </cell>
          <cell r="GL80" t="str">
            <v>нд</v>
          </cell>
          <cell r="GM80" t="str">
            <v>нд</v>
          </cell>
          <cell r="GN80" t="str">
            <v>нд</v>
          </cell>
          <cell r="GO80" t="str">
            <v>нд</v>
          </cell>
          <cell r="GP80" t="str">
            <v>нд</v>
          </cell>
          <cell r="GQ80" t="str">
            <v>нд</v>
          </cell>
          <cell r="GR80" t="str">
            <v>нд</v>
          </cell>
          <cell r="GS80" t="str">
            <v>нд</v>
          </cell>
          <cell r="GT80" t="str">
            <v>нд</v>
          </cell>
          <cell r="GU80" t="str">
            <v>нд</v>
          </cell>
          <cell r="GV80" t="str">
            <v>нд</v>
          </cell>
          <cell r="GW80" t="str">
            <v>нд</v>
          </cell>
          <cell r="GX80" t="str">
            <v>нд</v>
          </cell>
          <cell r="GY80" t="str">
            <v>нд</v>
          </cell>
          <cell r="GZ80" t="str">
            <v>нд</v>
          </cell>
          <cell r="HA80" t="str">
            <v>нд</v>
          </cell>
          <cell r="HB80" t="str">
            <v>нд</v>
          </cell>
          <cell r="HC80" t="str">
            <v>нд</v>
          </cell>
          <cell r="HD80" t="str">
            <v>нд</v>
          </cell>
          <cell r="HE80" t="str">
            <v>нд</v>
          </cell>
          <cell r="HF80" t="str">
            <v>нд</v>
          </cell>
          <cell r="HG80" t="str">
            <v>нд</v>
          </cell>
          <cell r="HH80" t="str">
            <v>нд</v>
          </cell>
          <cell r="HI80" t="str">
            <v>нд</v>
          </cell>
          <cell r="HJ80" t="str">
            <v>нд</v>
          </cell>
          <cell r="HK80" t="str">
            <v>нд</v>
          </cell>
          <cell r="HL80" t="str">
            <v>нд</v>
          </cell>
          <cell r="HM80" t="str">
            <v>нд</v>
          </cell>
          <cell r="HN80" t="str">
            <v>нд</v>
          </cell>
          <cell r="HO80" t="str">
            <v>нд</v>
          </cell>
          <cell r="HP80" t="str">
            <v>нд</v>
          </cell>
          <cell r="HQ80" t="str">
            <v>нд</v>
          </cell>
          <cell r="HR80" t="str">
            <v>нд</v>
          </cell>
          <cell r="HS80" t="str">
            <v>нд</v>
          </cell>
          <cell r="HT80" t="str">
            <v>нд</v>
          </cell>
          <cell r="HU80" t="str">
            <v>нд</v>
          </cell>
          <cell r="HV80" t="str">
            <v>нд</v>
          </cell>
          <cell r="HW80" t="str">
            <v>нд</v>
          </cell>
          <cell r="HX80" t="str">
            <v>нд</v>
          </cell>
          <cell r="HY80" t="str">
            <v>нд</v>
          </cell>
          <cell r="HZ80" t="str">
            <v>нд</v>
          </cell>
          <cell r="IA80" t="str">
            <v>нд</v>
          </cell>
          <cell r="IB80" t="str">
            <v>нд</v>
          </cell>
          <cell r="IC80" t="str">
            <v>нд</v>
          </cell>
          <cell r="ID80">
            <v>0</v>
          </cell>
          <cell r="IE80" t="str">
            <v>нд</v>
          </cell>
          <cell r="IF80">
            <v>0</v>
          </cell>
          <cell r="IG80">
            <v>0</v>
          </cell>
          <cell r="IH80" t="str">
            <v>нд</v>
          </cell>
          <cell r="II80" t="str">
            <v>нд</v>
          </cell>
          <cell r="IJ80" t="str">
            <v>нд</v>
          </cell>
          <cell r="IK80">
            <v>0</v>
          </cell>
          <cell r="IL80">
            <v>0</v>
          </cell>
          <cell r="IM80">
            <v>0</v>
          </cell>
          <cell r="IN80" t="str">
            <v>нд</v>
          </cell>
          <cell r="IO80" t="str">
            <v>нд</v>
          </cell>
          <cell r="IP80" t="str">
            <v>нд</v>
          </cell>
          <cell r="IQ80" t="str">
            <v>нд</v>
          </cell>
          <cell r="IR80" t="str">
            <v>нд</v>
          </cell>
          <cell r="IS80" t="str">
            <v>нд</v>
          </cell>
          <cell r="IT80" t="str">
            <v>нд</v>
          </cell>
          <cell r="IU80" t="str">
            <v>нд</v>
          </cell>
          <cell r="IV80" t="str">
            <v>нд</v>
          </cell>
          <cell r="IW80" t="str">
            <v>нд</v>
          </cell>
          <cell r="IX80" t="str">
            <v>нд</v>
          </cell>
          <cell r="IY80">
            <v>8.2916660000000003E-2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1</v>
          </cell>
          <cell r="JH80">
            <v>0</v>
          </cell>
          <cell r="JI80">
            <v>1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8.2916660000000003E-2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</v>
          </cell>
          <cell r="KD80">
            <v>0</v>
          </cell>
          <cell r="KE80">
            <v>1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 t="str">
            <v>нд</v>
          </cell>
          <cell r="LR80" t="str">
            <v>нд</v>
          </cell>
          <cell r="LS80" t="str">
            <v>нд</v>
          </cell>
          <cell r="LT80" t="str">
            <v>нд</v>
          </cell>
          <cell r="LU80" t="str">
            <v>нд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 t="str">
            <v>нд</v>
          </cell>
          <cell r="MD80" t="str">
            <v>нд</v>
          </cell>
          <cell r="ME80" t="str">
            <v>нд</v>
          </cell>
          <cell r="MF80" t="str">
            <v>нд</v>
          </cell>
          <cell r="MG80" t="str">
            <v>нд</v>
          </cell>
          <cell r="MH80" t="str">
            <v>нд</v>
          </cell>
          <cell r="MI80" t="str">
            <v>нд</v>
          </cell>
          <cell r="MJ80" t="str">
            <v>нд</v>
          </cell>
          <cell r="MK80" t="str">
            <v>нд</v>
          </cell>
          <cell r="ML80" t="str">
            <v>нд</v>
          </cell>
          <cell r="MM80" t="str">
            <v>нд</v>
          </cell>
          <cell r="MN80" t="str">
            <v>нд</v>
          </cell>
          <cell r="MO80" t="str">
            <v>нд</v>
          </cell>
          <cell r="MP80" t="str">
            <v>нд</v>
          </cell>
          <cell r="MQ80" t="str">
            <v>нд</v>
          </cell>
          <cell r="MR80" t="str">
            <v>нд</v>
          </cell>
          <cell r="MS80" t="str">
            <v>нд</v>
          </cell>
          <cell r="MT80" t="str">
            <v>нд</v>
          </cell>
          <cell r="MU80" t="str">
            <v>нд</v>
          </cell>
          <cell r="MV80" t="str">
            <v>нд</v>
          </cell>
          <cell r="MW80" t="str">
            <v>нд</v>
          </cell>
          <cell r="MX80" t="str">
            <v>нд</v>
          </cell>
          <cell r="MY80" t="str">
            <v>нд</v>
          </cell>
          <cell r="MZ80" t="str">
            <v>нд</v>
          </cell>
          <cell r="NA80" t="str">
            <v>нд</v>
          </cell>
          <cell r="NB80" t="str">
            <v>нд</v>
          </cell>
          <cell r="NC80" t="str">
            <v>нд</v>
          </cell>
          <cell r="ND80" t="str">
            <v>нд</v>
          </cell>
          <cell r="NE80" t="str">
            <v>нд</v>
          </cell>
          <cell r="NF80" t="str">
            <v>нд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2019</v>
          </cell>
          <cell r="ON80">
            <v>2019</v>
          </cell>
          <cell r="OO80">
            <v>2019</v>
          </cell>
          <cell r="OP80" t="str">
            <v>з</v>
          </cell>
          <cell r="OR80">
            <v>0</v>
          </cell>
          <cell r="OT80">
            <v>9.9499991999999995E-2</v>
          </cell>
        </row>
        <row r="81">
          <cell r="A81" t="str">
            <v>G_Che2_16</v>
          </cell>
          <cell r="B81" t="str">
            <v>1.6</v>
          </cell>
          <cell r="C81" t="str">
            <v>Приобретение оборудования, требующего монтажа для обслуживания сетей, прочее оборудование.</v>
          </cell>
          <cell r="D81" t="str">
            <v>G_Che2_16</v>
          </cell>
          <cell r="E81" t="str">
            <v>нд</v>
          </cell>
          <cell r="H81">
            <v>74.025306980999986</v>
          </cell>
          <cell r="J81">
            <v>34.643836287200003</v>
          </cell>
          <cell r="K81">
            <v>20.296818497200007</v>
          </cell>
          <cell r="L81">
            <v>14.347017789999999</v>
          </cell>
          <cell r="M81">
            <v>0</v>
          </cell>
          <cell r="N81">
            <v>0</v>
          </cell>
          <cell r="O81">
            <v>12.384275026440626</v>
          </cell>
          <cell r="P81">
            <v>0</v>
          </cell>
          <cell r="Q81">
            <v>1.9627427635593717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>
            <v>1</v>
          </cell>
          <cell r="BC81">
            <v>2</v>
          </cell>
          <cell r="BD81">
            <v>3</v>
          </cell>
          <cell r="BE81">
            <v>4</v>
          </cell>
          <cell r="BF81" t="str">
            <v>1 2 3 4</v>
          </cell>
          <cell r="BG81">
            <v>1.58</v>
          </cell>
          <cell r="BH81">
            <v>0</v>
          </cell>
          <cell r="BI81">
            <v>0</v>
          </cell>
          <cell r="BJ81">
            <v>1.4924058333333337</v>
          </cell>
          <cell r="BK81">
            <v>0</v>
          </cell>
          <cell r="BL81">
            <v>8.7594166666666307E-2</v>
          </cell>
          <cell r="BM81">
            <v>1.58</v>
          </cell>
          <cell r="BN81">
            <v>0</v>
          </cell>
          <cell r="BO81">
            <v>0</v>
          </cell>
          <cell r="BP81">
            <v>1.58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-8.7594166666666307E-2</v>
          </cell>
          <cell r="BW81">
            <v>0</v>
          </cell>
          <cell r="BX81">
            <v>8.7594166666666307E-2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1</v>
          </cell>
          <cell r="CR81" t="str">
            <v/>
          </cell>
          <cell r="CS81" t="str">
            <v/>
          </cell>
          <cell r="CT81" t="str">
            <v/>
          </cell>
          <cell r="CU81" t="str">
            <v>1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E81">
            <v>47.521395320000003</v>
          </cell>
          <cell r="DG81">
            <v>41.403940615166661</v>
          </cell>
          <cell r="DH81">
            <v>41.403940615166661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 t="str">
            <v>нд</v>
          </cell>
          <cell r="DS81" t="str">
            <v>нд</v>
          </cell>
          <cell r="DT81" t="str">
            <v>нд</v>
          </cell>
          <cell r="DU81" t="str">
            <v>нд</v>
          </cell>
          <cell r="DV81" t="str">
            <v>нд</v>
          </cell>
          <cell r="DW81" t="str">
            <v>нд</v>
          </cell>
          <cell r="DX81" t="str">
            <v/>
          </cell>
          <cell r="DY81">
            <v>2</v>
          </cell>
          <cell r="DZ81" t="str">
            <v/>
          </cell>
          <cell r="EA81" t="str">
            <v/>
          </cell>
          <cell r="EB81" t="str">
            <v>2</v>
          </cell>
          <cell r="EC81">
            <v>11.64023137</v>
          </cell>
          <cell r="ED81">
            <v>0</v>
          </cell>
          <cell r="EE81">
            <v>0</v>
          </cell>
          <cell r="EF81">
            <v>11.64023137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11.64023137</v>
          </cell>
          <cell r="EN81">
            <v>0</v>
          </cell>
          <cell r="EO81">
            <v>0</v>
          </cell>
          <cell r="EP81">
            <v>11.64023137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>
            <v>2</v>
          </cell>
          <cell r="FI81">
            <v>3</v>
          </cell>
          <cell r="FJ81">
            <v>4</v>
          </cell>
          <cell r="FK81" t="str">
            <v>1 2 3 4</v>
          </cell>
          <cell r="FN81" t="str">
            <v>нд</v>
          </cell>
          <cell r="FO81" t="str">
            <v>нд</v>
          </cell>
          <cell r="FP81" t="str">
            <v>нд</v>
          </cell>
          <cell r="FQ81" t="str">
            <v>нд</v>
          </cell>
          <cell r="FR81" t="str">
            <v>нд</v>
          </cell>
          <cell r="FS81" t="str">
            <v>нд</v>
          </cell>
          <cell r="FT81" t="str">
            <v>нд</v>
          </cell>
          <cell r="FU81" t="str">
            <v>нд</v>
          </cell>
          <cell r="FV81" t="str">
            <v>нд</v>
          </cell>
          <cell r="FW81" t="str">
            <v>нд</v>
          </cell>
          <cell r="FX81" t="str">
            <v>нд</v>
          </cell>
          <cell r="FZ81">
            <v>25.513163949999999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13</v>
          </cell>
          <cell r="GI81">
            <v>0</v>
          </cell>
          <cell r="GJ81">
            <v>13</v>
          </cell>
          <cell r="GK81" t="str">
            <v>нд</v>
          </cell>
          <cell r="GL81" t="str">
            <v>нд</v>
          </cell>
          <cell r="GM81" t="str">
            <v>нд</v>
          </cell>
          <cell r="GN81" t="str">
            <v>нд</v>
          </cell>
          <cell r="GO81" t="str">
            <v>нд</v>
          </cell>
          <cell r="GP81" t="str">
            <v>нд</v>
          </cell>
          <cell r="GQ81" t="str">
            <v>нд</v>
          </cell>
          <cell r="GR81" t="str">
            <v>нд</v>
          </cell>
          <cell r="GS81" t="str">
            <v>нд</v>
          </cell>
          <cell r="GT81" t="str">
            <v>нд</v>
          </cell>
          <cell r="GU81" t="str">
            <v>нд</v>
          </cell>
          <cell r="GV81" t="str">
            <v>нд</v>
          </cell>
          <cell r="GW81" t="str">
            <v>нд</v>
          </cell>
          <cell r="GX81" t="str">
            <v>нд</v>
          </cell>
          <cell r="GY81" t="str">
            <v>нд</v>
          </cell>
          <cell r="GZ81" t="str">
            <v>нд</v>
          </cell>
          <cell r="HA81" t="str">
            <v>нд</v>
          </cell>
          <cell r="HB81" t="str">
            <v>нд</v>
          </cell>
          <cell r="HC81" t="str">
            <v>нд</v>
          </cell>
          <cell r="HD81" t="str">
            <v>нд</v>
          </cell>
          <cell r="HE81" t="str">
            <v>нд</v>
          </cell>
          <cell r="HF81" t="str">
            <v>нд</v>
          </cell>
          <cell r="HG81" t="str">
            <v>нд</v>
          </cell>
          <cell r="HH81" t="str">
            <v>нд</v>
          </cell>
          <cell r="HI81" t="str">
            <v>нд</v>
          </cell>
          <cell r="HJ81" t="str">
            <v>нд</v>
          </cell>
          <cell r="HK81" t="str">
            <v>нд</v>
          </cell>
          <cell r="HL81" t="str">
            <v>нд</v>
          </cell>
          <cell r="HM81" t="str">
            <v>нд</v>
          </cell>
          <cell r="HN81" t="str">
            <v>нд</v>
          </cell>
          <cell r="HO81" t="str">
            <v>нд</v>
          </cell>
          <cell r="HP81" t="str">
            <v>нд</v>
          </cell>
          <cell r="HQ81" t="str">
            <v>нд</v>
          </cell>
          <cell r="HR81" t="str">
            <v>нд</v>
          </cell>
          <cell r="HS81" t="str">
            <v>нд</v>
          </cell>
          <cell r="HT81" t="str">
            <v>нд</v>
          </cell>
          <cell r="HU81" t="str">
            <v>нд</v>
          </cell>
          <cell r="HV81" t="str">
            <v>нд</v>
          </cell>
          <cell r="HW81" t="str">
            <v>нд</v>
          </cell>
          <cell r="HX81" t="str">
            <v>нд</v>
          </cell>
          <cell r="HY81" t="str">
            <v>нд</v>
          </cell>
          <cell r="HZ81" t="str">
            <v>нд</v>
          </cell>
          <cell r="IA81" t="str">
            <v>нд</v>
          </cell>
          <cell r="IB81" t="str">
            <v>нд</v>
          </cell>
          <cell r="IC81" t="str">
            <v>нд</v>
          </cell>
          <cell r="ID81">
            <v>0</v>
          </cell>
          <cell r="IE81" t="str">
            <v>нд</v>
          </cell>
          <cell r="IF81">
            <v>0</v>
          </cell>
          <cell r="IG81">
            <v>0</v>
          </cell>
          <cell r="IH81" t="str">
            <v>нд</v>
          </cell>
          <cell r="II81" t="str">
            <v>нд</v>
          </cell>
          <cell r="IJ81" t="str">
            <v>нд</v>
          </cell>
          <cell r="IK81">
            <v>0</v>
          </cell>
          <cell r="IL81">
            <v>0</v>
          </cell>
          <cell r="IM81">
            <v>0</v>
          </cell>
          <cell r="IN81" t="str">
            <v>нд</v>
          </cell>
          <cell r="IO81" t="str">
            <v>нд</v>
          </cell>
          <cell r="IP81" t="str">
            <v>нд</v>
          </cell>
          <cell r="IQ81" t="str">
            <v>нд</v>
          </cell>
          <cell r="IR81" t="str">
            <v>нд</v>
          </cell>
          <cell r="IS81" t="str">
            <v>нд</v>
          </cell>
          <cell r="IT81" t="str">
            <v>нд</v>
          </cell>
          <cell r="IU81" t="str">
            <v>нд</v>
          </cell>
          <cell r="IV81" t="str">
            <v>нд</v>
          </cell>
          <cell r="IW81" t="str">
            <v>нд</v>
          </cell>
          <cell r="IX81" t="str">
            <v>нд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 t="str">
            <v>нд</v>
          </cell>
          <cell r="LR81" t="str">
            <v>нд</v>
          </cell>
          <cell r="LS81" t="str">
            <v>нд</v>
          </cell>
          <cell r="LT81" t="str">
            <v>нд</v>
          </cell>
          <cell r="LU81" t="str">
            <v>нд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 t="str">
            <v>нд</v>
          </cell>
          <cell r="MD81" t="str">
            <v>нд</v>
          </cell>
          <cell r="ME81" t="str">
            <v>нд</v>
          </cell>
          <cell r="MF81" t="str">
            <v>нд</v>
          </cell>
          <cell r="MG81" t="str">
            <v>нд</v>
          </cell>
          <cell r="MH81" t="str">
            <v>нд</v>
          </cell>
          <cell r="MI81" t="str">
            <v>нд</v>
          </cell>
          <cell r="MJ81" t="str">
            <v>нд</v>
          </cell>
          <cell r="MK81" t="str">
            <v>нд</v>
          </cell>
          <cell r="ML81" t="str">
            <v>нд</v>
          </cell>
          <cell r="MM81" t="str">
            <v>нд</v>
          </cell>
          <cell r="MN81" t="str">
            <v>нд</v>
          </cell>
          <cell r="MO81" t="str">
            <v>нд</v>
          </cell>
          <cell r="MP81" t="str">
            <v>нд</v>
          </cell>
          <cell r="MQ81" t="str">
            <v>нд</v>
          </cell>
          <cell r="MR81" t="str">
            <v>нд</v>
          </cell>
          <cell r="MS81" t="str">
            <v>нд</v>
          </cell>
          <cell r="MT81" t="str">
            <v>нд</v>
          </cell>
          <cell r="MU81" t="str">
            <v>нд</v>
          </cell>
          <cell r="MV81" t="str">
            <v>нд</v>
          </cell>
          <cell r="MW81" t="str">
            <v>нд</v>
          </cell>
          <cell r="MX81" t="str">
            <v>нд</v>
          </cell>
          <cell r="MY81" t="str">
            <v>нд</v>
          </cell>
          <cell r="MZ81" t="str">
            <v>нд</v>
          </cell>
          <cell r="NA81" t="str">
            <v>нд</v>
          </cell>
          <cell r="NB81" t="str">
            <v>нд</v>
          </cell>
          <cell r="NC81" t="str">
            <v>нд</v>
          </cell>
          <cell r="ND81" t="str">
            <v>нд</v>
          </cell>
          <cell r="NE81" t="str">
            <v>нд</v>
          </cell>
          <cell r="NF81" t="str">
            <v>нд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2014</v>
          </cell>
          <cell r="OM81">
            <v>2019</v>
          </cell>
          <cell r="ON81">
            <v>2019</v>
          </cell>
          <cell r="OO81">
            <v>2019</v>
          </cell>
          <cell r="OP81" t="str">
            <v>и</v>
          </cell>
          <cell r="OR81">
            <v>0</v>
          </cell>
          <cell r="OT81">
            <v>92.742125478199995</v>
          </cell>
        </row>
        <row r="82">
          <cell r="A82" t="str">
            <v>F_prj_109108_5385</v>
          </cell>
          <cell r="B82" t="str">
            <v>1.6</v>
          </cell>
          <cell r="C8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2" t="str">
            <v>F_prj_109108_5385</v>
          </cell>
          <cell r="E82">
            <v>349.81581535600003</v>
          </cell>
          <cell r="H82">
            <v>349.75487930600002</v>
          </cell>
          <cell r="J82">
            <v>100.40877191000001</v>
          </cell>
          <cell r="K82">
            <v>100.40877191000001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100.34783586</v>
          </cell>
          <cell r="BH82">
            <v>0</v>
          </cell>
          <cell r="BI82">
            <v>0</v>
          </cell>
          <cell r="BJ82">
            <v>100.34783586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100.34783586</v>
          </cell>
          <cell r="BT82">
            <v>0</v>
          </cell>
          <cell r="BU82">
            <v>0</v>
          </cell>
          <cell r="BV82">
            <v>100.34783586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>
            <v>2</v>
          </cell>
          <cell r="CS82" t="str">
            <v/>
          </cell>
          <cell r="CT82" t="str">
            <v/>
          </cell>
          <cell r="CU82" t="str">
            <v>2</v>
          </cell>
          <cell r="CX82">
            <v>296.686398</v>
          </cell>
          <cell r="CY82">
            <v>37.646070000000002</v>
          </cell>
          <cell r="CZ82">
            <v>279.44923999999997</v>
          </cell>
          <cell r="DA82">
            <v>13.38151</v>
          </cell>
          <cell r="DB82">
            <v>27.529046000000058</v>
          </cell>
          <cell r="DE82">
            <v>296.68639800000005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2013</v>
          </cell>
          <cell r="OM82" t="str">
            <v>нд</v>
          </cell>
          <cell r="ON82">
            <v>2023</v>
          </cell>
          <cell r="OO82" t="str">
            <v>нд</v>
          </cell>
          <cell r="OP82" t="str">
            <v>с</v>
          </cell>
          <cell r="OR82">
            <v>0</v>
          </cell>
          <cell r="OT82">
            <v>349.81581535600003</v>
          </cell>
        </row>
        <row r="83">
          <cell r="A83" t="str">
            <v>I_Che143</v>
          </cell>
          <cell r="B83" t="str">
            <v>1.6</v>
          </cell>
          <cell r="C83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83" t="str">
            <v>I_Che143</v>
          </cell>
          <cell r="E83">
            <v>200.83727325999999</v>
          </cell>
          <cell r="H83">
            <v>70.274528279999998</v>
          </cell>
          <cell r="J83">
            <v>200.83727325999999</v>
          </cell>
          <cell r="K83">
            <v>200.83727325999999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70.274528279999998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70.274528279999998</v>
          </cell>
          <cell r="BM83">
            <v>5.9525603299999998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5.9525603299999998</v>
          </cell>
          <cell r="BS83">
            <v>64.321967950000001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64.321967950000001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 t="str">
            <v/>
          </cell>
          <cell r="CT83" t="str">
            <v/>
          </cell>
          <cell r="CU83" t="str">
            <v>1 2</v>
          </cell>
          <cell r="CX83">
            <v>170.20107903389831</v>
          </cell>
          <cell r="CY83">
            <v>170.20107903389831</v>
          </cell>
          <cell r="CZ83">
            <v>0</v>
          </cell>
          <cell r="DA83">
            <v>0</v>
          </cell>
          <cell r="DB83">
            <v>0</v>
          </cell>
          <cell r="DE83">
            <v>119.94958475</v>
          </cell>
          <cell r="DG83">
            <v>170.20107903389831</v>
          </cell>
          <cell r="DH83">
            <v>170.20107903389831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2</v>
          </cell>
          <cell r="DZ83" t="str">
            <v/>
          </cell>
          <cell r="EA83" t="str">
            <v/>
          </cell>
          <cell r="EB83" t="str">
            <v>1 2</v>
          </cell>
          <cell r="EC83">
            <v>119.94958475</v>
          </cell>
          <cell r="ED83">
            <v>188.65710769</v>
          </cell>
          <cell r="EE83">
            <v>0</v>
          </cell>
          <cell r="EF83">
            <v>0</v>
          </cell>
          <cell r="EG83">
            <v>0</v>
          </cell>
          <cell r="EH83">
            <v>77.907908059999997</v>
          </cell>
          <cell r="EI83">
            <v>146.615431</v>
          </cell>
          <cell r="EJ83">
            <v>0</v>
          </cell>
          <cell r="EK83">
            <v>0</v>
          </cell>
          <cell r="EL83">
            <v>0</v>
          </cell>
          <cell r="EM83">
            <v>42.041676690000003</v>
          </cell>
          <cell r="EN83">
            <v>42.041676690000003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2018</v>
          </cell>
          <cell r="OM83">
            <v>2019</v>
          </cell>
          <cell r="ON83">
            <v>2019</v>
          </cell>
          <cell r="OO83">
            <v>2019</v>
          </cell>
          <cell r="OP83" t="str">
            <v>п</v>
          </cell>
          <cell r="OR83">
            <v>0</v>
          </cell>
          <cell r="OT83">
            <v>200.83727325999999</v>
          </cell>
        </row>
        <row r="84">
          <cell r="A84" t="str">
            <v>I_Che136</v>
          </cell>
          <cell r="B84" t="str">
            <v>1.6</v>
          </cell>
          <cell r="C84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84" t="str">
            <v>I_Che136</v>
          </cell>
          <cell r="E84">
            <v>207.37437734</v>
          </cell>
          <cell r="H84">
            <v>185.68207825000002</v>
          </cell>
          <cell r="J84">
            <v>207.37437734</v>
          </cell>
          <cell r="K84">
            <v>207.37437734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185.68207825000002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185.68207825000002</v>
          </cell>
          <cell r="BM84">
            <v>24.493047239999999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24.493047239999999</v>
          </cell>
          <cell r="BS84">
            <v>161.18903101000001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161.18903101000001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 t="str">
            <v/>
          </cell>
          <cell r="CT84" t="str">
            <v/>
          </cell>
          <cell r="CU84" t="str">
            <v>1 2</v>
          </cell>
          <cell r="CX84">
            <v>175.74099774576271</v>
          </cell>
          <cell r="CY84">
            <v>175.74099774576271</v>
          </cell>
          <cell r="CZ84">
            <v>0</v>
          </cell>
          <cell r="DA84">
            <v>0</v>
          </cell>
          <cell r="DB84">
            <v>0</v>
          </cell>
          <cell r="DE84">
            <v>225.6534661</v>
          </cell>
          <cell r="DG84">
            <v>175.74099774576271</v>
          </cell>
          <cell r="DH84">
            <v>175.74099774576271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1</v>
          </cell>
          <cell r="DY84">
            <v>2</v>
          </cell>
          <cell r="DZ84" t="str">
            <v/>
          </cell>
          <cell r="EA84" t="str">
            <v/>
          </cell>
          <cell r="EB84" t="str">
            <v>1 2</v>
          </cell>
          <cell r="EC84">
            <v>225.6534661</v>
          </cell>
          <cell r="ED84">
            <v>156.94594316000001</v>
          </cell>
          <cell r="EE84">
            <v>0</v>
          </cell>
          <cell r="EF84">
            <v>0</v>
          </cell>
          <cell r="EG84">
            <v>0</v>
          </cell>
          <cell r="EH84">
            <v>146.615431</v>
          </cell>
          <cell r="EI84">
            <v>77.907908059999997</v>
          </cell>
          <cell r="EJ84">
            <v>0</v>
          </cell>
          <cell r="EK84">
            <v>0</v>
          </cell>
          <cell r="EL84">
            <v>0</v>
          </cell>
          <cell r="EM84">
            <v>79.038035100000002</v>
          </cell>
          <cell r="EN84">
            <v>79.038035100000002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2018</v>
          </cell>
          <cell r="OM84">
            <v>2019</v>
          </cell>
          <cell r="ON84">
            <v>2019</v>
          </cell>
          <cell r="OO84">
            <v>2019</v>
          </cell>
          <cell r="OP84" t="str">
            <v>п</v>
          </cell>
          <cell r="OR84">
            <v>0</v>
          </cell>
          <cell r="OT84">
            <v>207.37437734</v>
          </cell>
        </row>
        <row r="85">
          <cell r="A85" t="str">
            <v>I_Che231_18</v>
          </cell>
          <cell r="B85" t="str">
            <v>1.6</v>
          </cell>
          <cell r="C85" t="str">
            <v>Приобретение персональных компьютеров–30 ед</v>
          </cell>
          <cell r="D85" t="str">
            <v>I_Che231_18</v>
          </cell>
          <cell r="E85" t="str">
            <v>нд</v>
          </cell>
          <cell r="H85">
            <v>1.496360997</v>
          </cell>
          <cell r="J85">
            <v>1.496360997</v>
          </cell>
          <cell r="K85">
            <v>0.1113869999999999</v>
          </cell>
          <cell r="L85">
            <v>1.3849739970000001</v>
          </cell>
          <cell r="M85">
            <v>0</v>
          </cell>
          <cell r="N85">
            <v>0</v>
          </cell>
          <cell r="O85">
            <v>1.1737067771186442</v>
          </cell>
          <cell r="P85">
            <v>0</v>
          </cell>
          <cell r="Q85">
            <v>0.21126721988135588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>
            <v>4</v>
          </cell>
          <cell r="BF85" t="str">
            <v>1 2 3 4</v>
          </cell>
          <cell r="BG85">
            <v>0.111387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0.111387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0.111387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0.111387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>
            <v>2</v>
          </cell>
          <cell r="CS85" t="str">
            <v/>
          </cell>
          <cell r="CT85" t="str">
            <v/>
          </cell>
          <cell r="CU85" t="str">
            <v>2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1.2681025399999999</v>
          </cell>
          <cell r="DG85">
            <v>1.2681025399999999</v>
          </cell>
          <cell r="DH85">
            <v>0</v>
          </cell>
          <cell r="DI85">
            <v>1.2681025399999999</v>
          </cell>
          <cell r="DJ85">
            <v>0</v>
          </cell>
          <cell r="DK85">
            <v>0</v>
          </cell>
          <cell r="DL85">
            <v>1.2681025399999999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2</v>
          </cell>
          <cell r="FI85">
            <v>3</v>
          </cell>
          <cell r="FJ85">
            <v>4</v>
          </cell>
          <cell r="FK85" t="str">
            <v>1 2 3 4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1.2681025399999999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30</v>
          </cell>
          <cell r="GI85">
            <v>0</v>
          </cell>
          <cell r="GJ85">
            <v>30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>
            <v>0</v>
          </cell>
          <cell r="IE85" t="str">
            <v>нд</v>
          </cell>
          <cell r="IF85">
            <v>0</v>
          </cell>
          <cell r="IG85">
            <v>0</v>
          </cell>
          <cell r="IH85" t="str">
            <v>нд</v>
          </cell>
          <cell r="II85" t="str">
            <v>нд</v>
          </cell>
          <cell r="IJ85" t="str">
            <v>нд</v>
          </cell>
          <cell r="IK85">
            <v>0</v>
          </cell>
          <cell r="IL85">
            <v>0</v>
          </cell>
          <cell r="IM85">
            <v>0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2019</v>
          </cell>
          <cell r="ON85">
            <v>2019</v>
          </cell>
          <cell r="OO85">
            <v>2019</v>
          </cell>
          <cell r="OP85" t="str">
            <v>и</v>
          </cell>
          <cell r="OR85">
            <v>0</v>
          </cell>
          <cell r="OT85">
            <v>1.496360997</v>
          </cell>
        </row>
        <row r="86">
          <cell r="A86" t="str">
            <v>I_Che164</v>
          </cell>
          <cell r="B86" t="str">
            <v>1.6</v>
          </cell>
          <cell r="C86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86" t="str">
            <v>I_Che164</v>
          </cell>
          <cell r="E86">
            <v>8.8757181307055699</v>
          </cell>
          <cell r="H86">
            <v>0</v>
          </cell>
          <cell r="J86">
            <v>8.8757181307055699</v>
          </cell>
          <cell r="K86">
            <v>8.8757181307055699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8.8757181307055699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8.8757181307055699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8.8757181307055699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8.8757181307055699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7.5217950260216702</v>
          </cell>
          <cell r="CY86">
            <v>7.5217950260216702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7.5217950260216702</v>
          </cell>
          <cell r="DH86">
            <v>7.5217950260216702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7.5217950260216702</v>
          </cell>
          <cell r="DS86">
            <v>0</v>
          </cell>
          <cell r="DT86">
            <v>7.5217950260216702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2018</v>
          </cell>
          <cell r="OM86">
            <v>2019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8.8757181307055699</v>
          </cell>
        </row>
        <row r="87">
          <cell r="A87" t="str">
            <v>I_Che165</v>
          </cell>
          <cell r="B87" t="str">
            <v>1.6</v>
          </cell>
          <cell r="C87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87" t="str">
            <v>I_Che165</v>
          </cell>
          <cell r="E87">
            <v>16.206652335787847</v>
          </cell>
          <cell r="H87">
            <v>0</v>
          </cell>
          <cell r="J87">
            <v>16.206652335787847</v>
          </cell>
          <cell r="K87">
            <v>16.206652335787847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16.206652335787847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16.206652335787847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16.206652335787847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16.206652335787847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 t="str">
            <v/>
          </cell>
          <cell r="BC87">
            <v>2</v>
          </cell>
          <cell r="BD87" t="str">
            <v/>
          </cell>
          <cell r="BE87" t="str">
            <v/>
          </cell>
          <cell r="BF87" t="str">
            <v>2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13.734451132023599</v>
          </cell>
          <cell r="CY87">
            <v>13.734451132023599</v>
          </cell>
          <cell r="CZ87">
            <v>0</v>
          </cell>
          <cell r="DA87">
            <v>0</v>
          </cell>
          <cell r="DB87">
            <v>0</v>
          </cell>
          <cell r="DE87">
            <v>0</v>
          </cell>
          <cell r="DG87">
            <v>13.734451132023599</v>
          </cell>
          <cell r="DH87">
            <v>13.734451132023599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13.734451132023599</v>
          </cell>
          <cell r="DS87">
            <v>0</v>
          </cell>
          <cell r="DT87">
            <v>13.734451132023599</v>
          </cell>
          <cell r="DU87">
            <v>0</v>
          </cell>
          <cell r="DV87">
            <v>0</v>
          </cell>
          <cell r="DW87">
            <v>0</v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1</v>
          </cell>
          <cell r="FW87">
            <v>0</v>
          </cell>
          <cell r="FX87">
            <v>1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2018</v>
          </cell>
          <cell r="OM87">
            <v>2019</v>
          </cell>
          <cell r="ON87">
            <v>2020</v>
          </cell>
          <cell r="OO87">
            <v>2020</v>
          </cell>
          <cell r="OP87" t="str">
            <v>п</v>
          </cell>
          <cell r="OR87">
            <v>0</v>
          </cell>
          <cell r="OT87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b2b-mrsk.ru/" TargetMode="External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tabSelected="1" view="pageBreakPreview" zoomScale="70" zoomScaleNormal="100" zoomScaleSheetLayoutView="70" workbookViewId="0">
      <selection activeCell="A6" sqref="A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3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46" t="s">
        <v>520</v>
      </c>
      <c r="B5" s="246"/>
      <c r="C5" s="246"/>
      <c r="D5" s="85"/>
      <c r="E5" s="85"/>
      <c r="F5" s="85"/>
      <c r="G5" s="85"/>
      <c r="H5" s="85"/>
      <c r="I5" s="85"/>
      <c r="J5" s="85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49" t="s">
        <v>5</v>
      </c>
      <c r="B7" s="249"/>
      <c r="C7" s="24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50" t="s">
        <v>282</v>
      </c>
      <c r="B9" s="250"/>
      <c r="C9" s="250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40" t="s">
        <v>4</v>
      </c>
      <c r="B10" s="240"/>
      <c r="C10" s="240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50" t="s">
        <v>443</v>
      </c>
      <c r="B12" s="250"/>
      <c r="C12" s="250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40" t="s">
        <v>3</v>
      </c>
      <c r="B13" s="240"/>
      <c r="C13" s="240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57.75" customHeight="1" x14ac:dyDescent="0.2">
      <c r="A15" s="241" t="str">
        <f>VLOOKUP(A12,'[1]6.2. отчет'!$A:$C,3,0)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42"/>
      <c r="C15" s="24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40" t="s">
        <v>2</v>
      </c>
      <c r="B16" s="240"/>
      <c r="C16" s="24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47" t="s">
        <v>269</v>
      </c>
      <c r="B18" s="248"/>
      <c r="C18" s="24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9" t="s">
        <v>1</v>
      </c>
      <c r="B20" s="32" t="s">
        <v>20</v>
      </c>
      <c r="C20" s="31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31">
        <v>1</v>
      </c>
      <c r="B21" s="32">
        <v>2</v>
      </c>
      <c r="C21" s="31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54.75" customHeight="1" x14ac:dyDescent="0.2">
      <c r="A22" s="18" t="s">
        <v>18</v>
      </c>
      <c r="B22" s="35" t="s">
        <v>155</v>
      </c>
      <c r="C22" s="82" t="s">
        <v>449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54.75" customHeight="1" x14ac:dyDescent="0.2">
      <c r="A23" s="18" t="s">
        <v>17</v>
      </c>
      <c r="B23" s="30" t="s">
        <v>293</v>
      </c>
      <c r="C23" s="88" t="s">
        <v>450</v>
      </c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2"/>
      <c r="S23" s="22"/>
      <c r="T23" s="21"/>
      <c r="U23" s="21"/>
      <c r="V23" s="21"/>
    </row>
    <row r="24" spans="1:22" s="2" customFormat="1" ht="22.5" customHeight="1" x14ac:dyDescent="0.2">
      <c r="A24" s="243"/>
      <c r="B24" s="244"/>
      <c r="C24" s="245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25" customFormat="1" ht="58.5" customHeight="1" x14ac:dyDescent="0.2">
      <c r="A25" s="18" t="s">
        <v>16</v>
      </c>
      <c r="B25" s="82" t="s">
        <v>232</v>
      </c>
      <c r="C25" s="29" t="s">
        <v>294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8" t="s">
        <v>15</v>
      </c>
      <c r="B26" s="82" t="s">
        <v>28</v>
      </c>
      <c r="C26" s="29" t="s">
        <v>278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8" t="s">
        <v>13</v>
      </c>
      <c r="B27" s="82" t="s">
        <v>27</v>
      </c>
      <c r="C27" s="29" t="s">
        <v>451</v>
      </c>
      <c r="D27" s="28"/>
      <c r="E27" s="28"/>
      <c r="F27" s="15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8" t="s">
        <v>12</v>
      </c>
      <c r="B28" s="82" t="s">
        <v>233</v>
      </c>
      <c r="C28" s="29" t="s">
        <v>452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8" t="s">
        <v>10</v>
      </c>
      <c r="B29" s="82" t="s">
        <v>234</v>
      </c>
      <c r="C29" s="29" t="s">
        <v>279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8" t="s">
        <v>8</v>
      </c>
      <c r="B30" s="82" t="s">
        <v>235</v>
      </c>
      <c r="C30" s="29" t="s">
        <v>453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8" t="s">
        <v>26</v>
      </c>
      <c r="B31" s="34" t="s">
        <v>236</v>
      </c>
      <c r="C31" s="29" t="s">
        <v>452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8" t="s">
        <v>24</v>
      </c>
      <c r="B32" s="34" t="s">
        <v>237</v>
      </c>
      <c r="C32" s="29" t="s">
        <v>452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8" t="s">
        <v>23</v>
      </c>
      <c r="B33" s="34" t="s">
        <v>238</v>
      </c>
      <c r="C33" s="34" t="s">
        <v>454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8" t="s">
        <v>247</v>
      </c>
      <c r="B34" s="34" t="s">
        <v>239</v>
      </c>
      <c r="C34" s="19" t="s">
        <v>279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242</v>
      </c>
      <c r="B35" s="34" t="s">
        <v>25</v>
      </c>
      <c r="C35" s="19" t="s">
        <v>279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248</v>
      </c>
      <c r="B36" s="34" t="s">
        <v>240</v>
      </c>
      <c r="C36" s="19" t="s">
        <v>453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243</v>
      </c>
      <c r="B37" s="34" t="s">
        <v>241</v>
      </c>
      <c r="C37" s="19" t="s">
        <v>453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249</v>
      </c>
      <c r="B38" s="34" t="s">
        <v>151</v>
      </c>
      <c r="C38" s="19" t="s">
        <v>453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43"/>
      <c r="B39" s="244"/>
      <c r="C39" s="245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01.25" customHeight="1" x14ac:dyDescent="0.25">
      <c r="A40" s="18" t="s">
        <v>244</v>
      </c>
      <c r="B40" s="34" t="s">
        <v>270</v>
      </c>
      <c r="C40" s="183" t="s">
        <v>455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01.25" customHeight="1" x14ac:dyDescent="0.25">
      <c r="A41" s="110" t="s">
        <v>250</v>
      </c>
      <c r="B41" s="82" t="s">
        <v>295</v>
      </c>
      <c r="C41" s="111" t="s">
        <v>279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101.25" customHeight="1" x14ac:dyDescent="0.25">
      <c r="A42" s="110" t="s">
        <v>245</v>
      </c>
      <c r="B42" s="82" t="s">
        <v>296</v>
      </c>
      <c r="C42" s="112" t="s">
        <v>456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141" customHeight="1" x14ac:dyDescent="0.25">
      <c r="A43" s="110" t="s">
        <v>252</v>
      </c>
      <c r="B43" s="82" t="s">
        <v>297</v>
      </c>
      <c r="C43" s="111" t="s">
        <v>279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01.25" customHeight="1" x14ac:dyDescent="0.25">
      <c r="A44" s="110" t="s">
        <v>246</v>
      </c>
      <c r="B44" s="82" t="s">
        <v>298</v>
      </c>
      <c r="C44" s="113" t="s">
        <v>279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10" t="s">
        <v>299</v>
      </c>
      <c r="B45" s="82" t="s">
        <v>300</v>
      </c>
      <c r="C45" s="113" t="s">
        <v>279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5" customHeight="1" x14ac:dyDescent="0.25">
      <c r="A46" s="110" t="s">
        <v>302</v>
      </c>
      <c r="B46" s="82" t="s">
        <v>270</v>
      </c>
      <c r="C46" s="113" t="s">
        <v>457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75.75" customHeight="1" x14ac:dyDescent="0.25">
      <c r="A47" s="18" t="s">
        <v>303</v>
      </c>
      <c r="B47" s="34" t="s">
        <v>275</v>
      </c>
      <c r="C47" s="147">
        <f>'6.2. Паспорт фин осв ввод'!D24</f>
        <v>4.8988917999999995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ht="71.25" customHeight="1" x14ac:dyDescent="0.25">
      <c r="A48" s="18" t="s">
        <v>304</v>
      </c>
      <c r="B48" s="34" t="s">
        <v>276</v>
      </c>
      <c r="C48" s="148">
        <f>'6.2. Паспорт фин осв ввод'!D30</f>
        <v>4.5799477400000006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46" type="noConversion"/>
  <pageMargins left="0.15748031496062992" right="0.15748031496062992" top="0.27559055118110237" bottom="0.43307086614173229" header="0.19685039370078741" footer="0.31496062992125984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92"/>
  <sheetViews>
    <sheetView zoomScale="60" zoomScaleNormal="60" workbookViewId="0">
      <selection activeCell="F43" sqref="F43"/>
    </sheetView>
  </sheetViews>
  <sheetFormatPr defaultRowHeight="15.75" x14ac:dyDescent="0.25"/>
  <cols>
    <col min="1" max="1" width="9.140625" style="46"/>
    <col min="2" max="2" width="57.85546875" style="46" customWidth="1"/>
    <col min="3" max="3" width="14.42578125" style="46" customWidth="1"/>
    <col min="4" max="4" width="14.85546875" style="46" customWidth="1"/>
    <col min="5" max="5" width="19.5703125" style="46" customWidth="1"/>
    <col min="6" max="6" width="18.5703125" style="46" customWidth="1"/>
    <col min="7" max="7" width="13.85546875" style="47" customWidth="1"/>
    <col min="8" max="8" width="8.85546875" style="47" customWidth="1"/>
    <col min="9" max="9" width="8.140625" style="47" customWidth="1"/>
    <col min="10" max="10" width="8.42578125" style="47" customWidth="1"/>
    <col min="11" max="11" width="8.140625" style="47" customWidth="1"/>
    <col min="12" max="16384" width="9.140625" style="46"/>
  </cols>
  <sheetData>
    <row r="1" spans="1:11" x14ac:dyDescent="0.25">
      <c r="A1" s="47"/>
      <c r="B1" s="47"/>
      <c r="C1" s="47"/>
      <c r="D1" s="47"/>
      <c r="E1" s="47"/>
      <c r="F1" s="47"/>
    </row>
    <row r="2" spans="1:11" x14ac:dyDescent="0.25">
      <c r="A2" s="47"/>
      <c r="B2" s="47"/>
      <c r="C2" s="47"/>
      <c r="D2" s="47"/>
      <c r="E2" s="47"/>
      <c r="F2" s="47"/>
    </row>
    <row r="3" spans="1:11" x14ac:dyDescent="0.25">
      <c r="A3" s="47"/>
      <c r="B3" s="47"/>
      <c r="C3" s="47"/>
      <c r="D3" s="47"/>
      <c r="E3" s="47"/>
      <c r="F3" s="47"/>
    </row>
    <row r="4" spans="1:11" ht="18.75" customHeight="1" x14ac:dyDescent="0.25">
      <c r="A4" s="246" t="str">
        <f>'8. Общие сведения'!$A$5</f>
        <v>Год раскрытия информации: 2019 год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</row>
    <row r="5" spans="1:11" x14ac:dyDescent="0.25">
      <c r="A5" s="47"/>
      <c r="B5" s="47"/>
      <c r="C5" s="47"/>
      <c r="D5" s="47"/>
      <c r="E5" s="47"/>
      <c r="F5" s="47"/>
    </row>
    <row r="6" spans="1:11" ht="18.75" x14ac:dyDescent="0.25">
      <c r="A6" s="249" t="s">
        <v>5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</row>
    <row r="7" spans="1:1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2"/>
      <c r="K7" s="62"/>
    </row>
    <row r="8" spans="1:11" x14ac:dyDescent="0.25">
      <c r="A8" s="250" t="s">
        <v>282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</row>
    <row r="9" spans="1:11" ht="18.75" customHeight="1" x14ac:dyDescent="0.25">
      <c r="A9" s="240" t="s">
        <v>4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</row>
    <row r="10" spans="1:1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2"/>
      <c r="K10" s="62"/>
    </row>
    <row r="11" spans="1:11" x14ac:dyDescent="0.25">
      <c r="A11" s="250" t="str">
        <f>'1. паспорт местоположение'!$A$12</f>
        <v>I_Che148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</row>
    <row r="12" spans="1:11" x14ac:dyDescent="0.25">
      <c r="A12" s="240" t="s">
        <v>3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</row>
    <row r="13" spans="1:1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1"/>
      <c r="K13" s="61"/>
    </row>
    <row r="14" spans="1:11" ht="81.75" customHeight="1" x14ac:dyDescent="0.25">
      <c r="A14" s="281" t="str">
        <f>'1. паспорт местоположение'!$A$15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81"/>
      <c r="C14" s="281"/>
      <c r="D14" s="281"/>
      <c r="E14" s="281"/>
      <c r="F14" s="281"/>
      <c r="G14" s="281"/>
      <c r="H14" s="281"/>
      <c r="I14" s="281"/>
      <c r="J14" s="281"/>
      <c r="K14" s="281"/>
    </row>
    <row r="15" spans="1:11" ht="15.75" customHeight="1" x14ac:dyDescent="0.25">
      <c r="A15" s="240" t="s">
        <v>2</v>
      </c>
      <c r="B15" s="240"/>
      <c r="C15" s="240"/>
      <c r="D15" s="240"/>
      <c r="E15" s="240"/>
      <c r="F15" s="240"/>
      <c r="G15" s="240"/>
      <c r="H15" s="240"/>
      <c r="I15" s="240"/>
      <c r="J15" s="240"/>
      <c r="K15" s="240"/>
    </row>
    <row r="16" spans="1:11" x14ac:dyDescent="0.25">
      <c r="A16" s="317"/>
      <c r="B16" s="317"/>
      <c r="C16" s="317"/>
      <c r="D16" s="317"/>
      <c r="E16" s="317"/>
      <c r="F16" s="317"/>
      <c r="G16" s="317"/>
      <c r="H16" s="317"/>
      <c r="I16" s="317"/>
      <c r="J16" s="317"/>
      <c r="K16" s="317"/>
    </row>
    <row r="17" spans="1:11" x14ac:dyDescent="0.25">
      <c r="A17" s="47"/>
    </row>
    <row r="18" spans="1:11" x14ac:dyDescent="0.25">
      <c r="A18" s="316" t="s">
        <v>258</v>
      </c>
      <c r="B18" s="316"/>
      <c r="C18" s="316"/>
      <c r="D18" s="316"/>
      <c r="E18" s="316"/>
      <c r="F18" s="316"/>
      <c r="G18" s="316"/>
      <c r="H18" s="316"/>
      <c r="I18" s="316"/>
      <c r="J18" s="316"/>
      <c r="K18" s="316"/>
    </row>
    <row r="19" spans="1:11" x14ac:dyDescent="0.25">
      <c r="A19" s="47"/>
      <c r="B19" s="47"/>
      <c r="C19" s="47"/>
      <c r="D19" s="47"/>
      <c r="E19" s="47"/>
      <c r="F19" s="47"/>
    </row>
    <row r="20" spans="1:11" ht="33" customHeight="1" x14ac:dyDescent="0.25">
      <c r="A20" s="322" t="s">
        <v>107</v>
      </c>
      <c r="B20" s="322" t="s">
        <v>106</v>
      </c>
      <c r="C20" s="318" t="s">
        <v>105</v>
      </c>
      <c r="D20" s="318"/>
      <c r="E20" s="315" t="s">
        <v>104</v>
      </c>
      <c r="F20" s="315"/>
      <c r="G20" s="319" t="s">
        <v>514</v>
      </c>
      <c r="H20" s="324" t="s">
        <v>515</v>
      </c>
      <c r="I20" s="324"/>
      <c r="J20" s="324"/>
      <c r="K20" s="324"/>
    </row>
    <row r="21" spans="1:11" ht="46.5" customHeight="1" x14ac:dyDescent="0.25">
      <c r="A21" s="323"/>
      <c r="B21" s="323"/>
      <c r="C21" s="318"/>
      <c r="D21" s="318"/>
      <c r="E21" s="315"/>
      <c r="F21" s="315"/>
      <c r="G21" s="320"/>
      <c r="H21" s="318" t="s">
        <v>0</v>
      </c>
      <c r="I21" s="318"/>
      <c r="J21" s="318" t="s">
        <v>430</v>
      </c>
      <c r="K21" s="318"/>
    </row>
    <row r="22" spans="1:11" ht="89.25" customHeight="1" x14ac:dyDescent="0.25">
      <c r="A22" s="303"/>
      <c r="B22" s="303"/>
      <c r="C22" s="237" t="s">
        <v>0</v>
      </c>
      <c r="D22" s="237" t="s">
        <v>430</v>
      </c>
      <c r="E22" s="237" t="s">
        <v>516</v>
      </c>
      <c r="F22" s="237" t="s">
        <v>517</v>
      </c>
      <c r="G22" s="321"/>
      <c r="H22" s="238" t="s">
        <v>518</v>
      </c>
      <c r="I22" s="238" t="s">
        <v>519</v>
      </c>
      <c r="J22" s="238" t="s">
        <v>518</v>
      </c>
      <c r="K22" s="238" t="s">
        <v>519</v>
      </c>
    </row>
    <row r="23" spans="1:11" ht="19.5" customHeight="1" x14ac:dyDescent="0.25">
      <c r="A23" s="56">
        <v>1</v>
      </c>
      <c r="B23" s="56">
        <v>2</v>
      </c>
      <c r="C23" s="56">
        <v>3</v>
      </c>
      <c r="D23" s="56">
        <v>4</v>
      </c>
      <c r="E23" s="56">
        <v>5</v>
      </c>
      <c r="F23" s="56">
        <v>6</v>
      </c>
      <c r="G23" s="56">
        <v>7</v>
      </c>
      <c r="H23" s="56">
        <v>8</v>
      </c>
      <c r="I23" s="56">
        <v>9</v>
      </c>
      <c r="J23" s="56">
        <v>10</v>
      </c>
      <c r="K23" s="56">
        <v>11</v>
      </c>
    </row>
    <row r="24" spans="1:11" s="108" customFormat="1" ht="56.25" customHeight="1" x14ac:dyDescent="0.25">
      <c r="A24" s="59">
        <v>1</v>
      </c>
      <c r="B24" s="58" t="s">
        <v>103</v>
      </c>
      <c r="C24" s="231">
        <f>VLOOKUP($A$11,'[1]6.2. отчет'!$D:$K,2,0)</f>
        <v>4.8710752205216199</v>
      </c>
      <c r="D24" s="231">
        <f>VLOOKUP($A$11,'[1]6.2. отчет'!$D:$K,5,0)</f>
        <v>4.8988917999999995</v>
      </c>
      <c r="E24" s="231">
        <f>VLOOKUP($A$11,'[1]6.2. отчет'!$D:$K,7,0)</f>
        <v>4.8710752205216199</v>
      </c>
      <c r="F24" s="231">
        <f>VLOOKUP($A$11,'[1]6.2. отчет'!$D:$K,8,0)</f>
        <v>2.31475236052162</v>
      </c>
      <c r="G24" s="231">
        <f>VLOOKUP($A$11,'[1]6.2. отчет'!$D:$BL,9,0)</f>
        <v>2.5563228599999999</v>
      </c>
      <c r="H24" s="231">
        <f>VLOOKUP($A$11,'[1]6.2. отчет'!$D:$BL,15,0)</f>
        <v>0</v>
      </c>
      <c r="I24" s="231">
        <f>VLOOKUP($A$11,'[1]6.2. отчет'!$D:$CU,45,0)</f>
        <v>0</v>
      </c>
      <c r="J24" s="231">
        <f>VLOOKUP($A$11,'[1]6.2. отчет'!$D:$BL,56,0)</f>
        <v>2.34256894</v>
      </c>
      <c r="K24" s="231">
        <f>VLOOKUP($A$11,'[1]6.2. отчет'!$D:$CU,86,0)</f>
        <v>0</v>
      </c>
    </row>
    <row r="25" spans="1:11" s="108" customFormat="1" ht="24" customHeight="1" x14ac:dyDescent="0.25">
      <c r="A25" s="57" t="s">
        <v>102</v>
      </c>
      <c r="B25" s="37" t="s">
        <v>101</v>
      </c>
      <c r="C25" s="231">
        <f>H25</f>
        <v>0</v>
      </c>
      <c r="D25" s="231">
        <f>G25+J25</f>
        <v>0</v>
      </c>
      <c r="E25" s="231">
        <f>F25+G25</f>
        <v>0</v>
      </c>
      <c r="F25" s="231">
        <f>J25</f>
        <v>0</v>
      </c>
      <c r="G25" s="231">
        <f>VLOOKUP($A$11,'[1]6.2. отчет'!$D:$BL,10,0)</f>
        <v>0</v>
      </c>
      <c r="H25" s="231">
        <f>VLOOKUP($A$11,'[1]6.2. отчет'!$D:$BL,16,0)</f>
        <v>0</v>
      </c>
      <c r="I25" s="231">
        <f>IF(H25=0,0,VLOOKUP($A$11,'[1]6.2. отчет'!$D:$CU,46,0))</f>
        <v>0</v>
      </c>
      <c r="J25" s="231">
        <f>VLOOKUP($A$11,'[1]6.2. отчет'!$D:$BL,57,0)</f>
        <v>0</v>
      </c>
      <c r="K25" s="231">
        <f>IF(J25=0,0,VLOOKUP($A$11,'[1]6.2. отчет'!$D:$CU,87,0))</f>
        <v>0</v>
      </c>
    </row>
    <row r="26" spans="1:11" s="108" customFormat="1" ht="18" customHeight="1" x14ac:dyDescent="0.25">
      <c r="A26" s="57" t="s">
        <v>100</v>
      </c>
      <c r="B26" s="37" t="s">
        <v>99</v>
      </c>
      <c r="C26" s="231">
        <f>H26</f>
        <v>0</v>
      </c>
      <c r="D26" s="231">
        <f>G26+J26</f>
        <v>0</v>
      </c>
      <c r="E26" s="231">
        <f>F26+G26</f>
        <v>0</v>
      </c>
      <c r="F26" s="231">
        <f>J26</f>
        <v>0</v>
      </c>
      <c r="G26" s="231">
        <f>VLOOKUP($A$11,'[1]6.2. отчет'!$D:$BL,11,0)</f>
        <v>0</v>
      </c>
      <c r="H26" s="231">
        <f>VLOOKUP($A$11,'[1]6.2. отчет'!$D:$BL,17,0)</f>
        <v>0</v>
      </c>
      <c r="I26" s="231">
        <f>IF(H26=0,0,VLOOKUP($A$11,'[1]6.2. отчет'!$D:$CU,47,0))</f>
        <v>0</v>
      </c>
      <c r="J26" s="231">
        <f>VLOOKUP($A$11,'[1]6.2. отчет'!$D:$BL,58,0)</f>
        <v>0</v>
      </c>
      <c r="K26" s="231">
        <f>IF(J26=0,0,VLOOKUP($A$11,'[1]6.2. отчет'!$D:$CU,88,0))</f>
        <v>0</v>
      </c>
    </row>
    <row r="27" spans="1:11" s="108" customFormat="1" ht="41.25" customHeight="1" x14ac:dyDescent="0.25">
      <c r="A27" s="57" t="s">
        <v>98</v>
      </c>
      <c r="B27" s="37" t="s">
        <v>205</v>
      </c>
      <c r="C27" s="231">
        <f>IF(C24="нд","нд",C24-(C29+C28+C26+C25))</f>
        <v>4.8710752205216199</v>
      </c>
      <c r="D27" s="231">
        <f>G27+J27+D24-(G24+J24)</f>
        <v>0</v>
      </c>
      <c r="E27" s="231">
        <f>F27+G27</f>
        <v>2.31475236052162</v>
      </c>
      <c r="F27" s="231">
        <f>F24-(F25+F26+F28+F29)</f>
        <v>2.31475236052162</v>
      </c>
      <c r="G27" s="231">
        <f>VLOOKUP($A$11,'[1]6.2. отчет'!$D:$BL,12,0)</f>
        <v>0</v>
      </c>
      <c r="H27" s="231">
        <f>VLOOKUP($A$11,'[1]6.2. отчет'!$D:$BL,18,0)</f>
        <v>0</v>
      </c>
      <c r="I27" s="231">
        <f>IF(H27=0,0,VLOOKUP($A$11,'[1]6.2. отчет'!$D:$CU,48,0))</f>
        <v>0</v>
      </c>
      <c r="J27" s="231">
        <f>VLOOKUP($A$11,'[1]6.2. отчет'!$D:$BL,59,0)</f>
        <v>0</v>
      </c>
      <c r="K27" s="231">
        <f>IF(J27=0,0,VLOOKUP($A$11,'[1]6.2. отчет'!$D:$CU,89,0))</f>
        <v>0</v>
      </c>
    </row>
    <row r="28" spans="1:11" s="108" customFormat="1" ht="18.75" customHeight="1" x14ac:dyDescent="0.25">
      <c r="A28" s="57" t="s">
        <v>97</v>
      </c>
      <c r="B28" s="37" t="s">
        <v>96</v>
      </c>
      <c r="C28" s="231">
        <f>H28</f>
        <v>0</v>
      </c>
      <c r="D28" s="231">
        <f>G28+J28</f>
        <v>4.8111589200000004</v>
      </c>
      <c r="E28" s="231">
        <f>F28+G28</f>
        <v>2.46858998</v>
      </c>
      <c r="F28" s="231">
        <v>0</v>
      </c>
      <c r="G28" s="231">
        <f>VLOOKUP($A$11,'[1]6.2. отчет'!$D:$BL,13,0)</f>
        <v>2.46858998</v>
      </c>
      <c r="H28" s="231">
        <f>VLOOKUP($A$11,'[1]6.2. отчет'!$D:$BL,19,0)</f>
        <v>0</v>
      </c>
      <c r="I28" s="231">
        <f>IF(H28=0,0,VLOOKUP($A$11,'[1]6.2. отчет'!$D:$CU,49,0))</f>
        <v>0</v>
      </c>
      <c r="J28" s="231">
        <f>VLOOKUP($A$11,'[1]6.2. отчет'!$D:$BL,60,0)</f>
        <v>2.34256894</v>
      </c>
      <c r="K28" s="231">
        <f>IF(J28=0,0,VLOOKUP($A$11,'[1]6.2. отчет'!$D:$CU,90,0))</f>
        <v>0</v>
      </c>
    </row>
    <row r="29" spans="1:11" s="108" customFormat="1" ht="18.75" customHeight="1" x14ac:dyDescent="0.25">
      <c r="A29" s="57" t="s">
        <v>95</v>
      </c>
      <c r="B29" s="60" t="s">
        <v>94</v>
      </c>
      <c r="C29" s="231">
        <f>H29</f>
        <v>0</v>
      </c>
      <c r="D29" s="231">
        <f>G29+J29</f>
        <v>8.7732879999999985E-2</v>
      </c>
      <c r="E29" s="231">
        <f>F29+G29</f>
        <v>8.7732879999999985E-2</v>
      </c>
      <c r="F29" s="231">
        <v>0</v>
      </c>
      <c r="G29" s="231">
        <f>VLOOKUP($A$11,'[1]6.2. отчет'!$D:$BL,14,0)</f>
        <v>8.7732879999999985E-2</v>
      </c>
      <c r="H29" s="231">
        <f>VLOOKUP($A$11,'[1]6.2. отчет'!$D:$BL,20,0)</f>
        <v>0</v>
      </c>
      <c r="I29" s="231">
        <f>IF(H29=0,0,VLOOKUP($A$11,'[1]6.2. отчет'!$D:$CU,50,0))</f>
        <v>0</v>
      </c>
      <c r="J29" s="231">
        <f>VLOOKUP($A$11,'[1]6.2. отчет'!$D:$BL,61,0)</f>
        <v>0</v>
      </c>
      <c r="K29" s="231">
        <f>IF(J29=0,0,VLOOKUP($A$11,'[1]6.2. отчет'!$D:$CU,91,0))</f>
        <v>0</v>
      </c>
    </row>
    <row r="30" spans="1:11" s="108" customFormat="1" ht="54.75" customHeight="1" x14ac:dyDescent="0.25">
      <c r="A30" s="59" t="s">
        <v>17</v>
      </c>
      <c r="B30" s="58" t="s">
        <v>93</v>
      </c>
      <c r="C30" s="231">
        <f>VLOOKUP($A$11,'[1]6.2. отчет'!$D:$DB,99,0)</f>
        <v>4.1280298478996782</v>
      </c>
      <c r="D30" s="231">
        <f>VLOOKUP($A$11,'[1]6.2. отчет'!$D:$FK,106,0)</f>
        <v>4.5799477400000006</v>
      </c>
      <c r="E30" s="231">
        <f>VLOOKUP($A$11,'[1]6.2. отчет'!$D:$FK,108,0)</f>
        <v>4.1280298478996782</v>
      </c>
      <c r="F30" s="231">
        <f>VLOOKUP($A$11,'[1]6.2. отчет'!$D:$FK,109,0)</f>
        <v>-0.4519178921003224</v>
      </c>
      <c r="G30" s="231">
        <f>VLOOKUP($A$11,'[1]6.2. отчет'!$D:$FK,110,0)</f>
        <v>4.5799477400000006</v>
      </c>
      <c r="H30" s="231">
        <f>VLOOKUP($A$11,'[1]6.2. отчет'!$D:$FK,115,0)</f>
        <v>0</v>
      </c>
      <c r="I30" s="231">
        <f>VLOOKUP($A$11,'[1]6.2. отчет'!$D:$AGP,124,0)</f>
        <v>0</v>
      </c>
      <c r="J30" s="231">
        <f>VLOOKUP($A$11,'[1]6.2. отчет'!$D:$FK,130,0)</f>
        <v>0</v>
      </c>
      <c r="K30" s="231">
        <f>VLOOKUP($A$11,'[1]6.2. отчет'!$D:$FK,155,0)</f>
        <v>0</v>
      </c>
    </row>
    <row r="31" spans="1:11" s="108" customFormat="1" ht="21" customHeight="1" x14ac:dyDescent="0.25">
      <c r="A31" s="59" t="s">
        <v>92</v>
      </c>
      <c r="B31" s="37" t="s">
        <v>91</v>
      </c>
      <c r="C31" s="231">
        <f>VLOOKUP($A$11,'[1]6.2. отчет'!$D:$DB,100,0)</f>
        <v>0.16186496307976805</v>
      </c>
      <c r="D31" s="231">
        <f>G31+J31</f>
        <v>7.4349899999999997E-2</v>
      </c>
      <c r="E31" s="231">
        <v>0.16186496307976805</v>
      </c>
      <c r="F31" s="231">
        <f>H31</f>
        <v>0</v>
      </c>
      <c r="G31" s="231">
        <f>VLOOKUP($A$11,'[1]6.2. отчет'!$D:$FK,111,0)</f>
        <v>7.4349899999999997E-2</v>
      </c>
      <c r="H31" s="231">
        <v>0</v>
      </c>
      <c r="I31" s="231">
        <v>0</v>
      </c>
      <c r="J31" s="231">
        <f>VLOOKUP($A$11,'[1]6.2. отчет'!$D:$FK,131,0)</f>
        <v>0</v>
      </c>
      <c r="K31" s="231">
        <f>IF(J31=0,0,VLOOKUP($A$11,'[1]6.2. отчет'!$D:$FK,156,0))</f>
        <v>0</v>
      </c>
    </row>
    <row r="32" spans="1:11" s="108" customFormat="1" ht="31.5" x14ac:dyDescent="0.25">
      <c r="A32" s="59" t="s">
        <v>90</v>
      </c>
      <c r="B32" s="37" t="s">
        <v>89</v>
      </c>
      <c r="C32" s="231">
        <f>VLOOKUP($A$11,'[1]6.2. отчет'!$D:$DB,101,0)</f>
        <v>3.3752293053223643</v>
      </c>
      <c r="D32" s="231">
        <f t="shared" ref="D32:D34" si="0">G32+J32</f>
        <v>4.4016142900000004</v>
      </c>
      <c r="E32" s="231">
        <v>3.3752293053223643</v>
      </c>
      <c r="F32" s="231">
        <f>H32</f>
        <v>0</v>
      </c>
      <c r="G32" s="231">
        <f>VLOOKUP($A$11,'[1]6.2. отчет'!$D:$FK,112,0)</f>
        <v>4.4016142900000004</v>
      </c>
      <c r="H32" s="231">
        <v>0</v>
      </c>
      <c r="I32" s="231">
        <v>0</v>
      </c>
      <c r="J32" s="231">
        <f>VLOOKUP($A$11,'[1]6.2. отчет'!$D:$FK,132,0)</f>
        <v>0</v>
      </c>
      <c r="K32" s="231">
        <f>IF(J32=0,0,VLOOKUP($A$11,'[1]6.2. отчет'!$D:$FK,157,0))</f>
        <v>0</v>
      </c>
    </row>
    <row r="33" spans="1:11" s="108" customFormat="1" ht="20.25" customHeight="1" x14ac:dyDescent="0.25">
      <c r="A33" s="59" t="s">
        <v>88</v>
      </c>
      <c r="B33" s="37" t="s">
        <v>87</v>
      </c>
      <c r="C33" s="231">
        <f>VLOOKUP($A$11,'[1]6.2. отчет'!$D:$DB,102,0)</f>
        <v>0</v>
      </c>
      <c r="D33" s="231">
        <f t="shared" si="0"/>
        <v>0</v>
      </c>
      <c r="E33" s="231">
        <v>0</v>
      </c>
      <c r="F33" s="231">
        <f>H33</f>
        <v>0</v>
      </c>
      <c r="G33" s="231">
        <f>VLOOKUP($A$11,'[1]6.2. отчет'!$D:$FK,113,0)</f>
        <v>0</v>
      </c>
      <c r="H33" s="231">
        <v>0</v>
      </c>
      <c r="I33" s="231">
        <v>0</v>
      </c>
      <c r="J33" s="231">
        <f>VLOOKUP($A$11,'[1]6.2. отчет'!$D:$FK,133,0)</f>
        <v>0</v>
      </c>
      <c r="K33" s="231">
        <f>IF(J33=0,0,VLOOKUP($A$11,'[1]6.2. отчет'!$D:$FK,158,0))</f>
        <v>0</v>
      </c>
    </row>
    <row r="34" spans="1:11" s="108" customFormat="1" ht="21" customHeight="1" x14ac:dyDescent="0.25">
      <c r="A34" s="59" t="s">
        <v>86</v>
      </c>
      <c r="B34" s="37" t="s">
        <v>85</v>
      </c>
      <c r="C34" s="231">
        <f>VLOOKUP($A$11,'[1]6.2. отчет'!$D:$DB,103,0)</f>
        <v>0.59093557949754583</v>
      </c>
      <c r="D34" s="231">
        <f t="shared" si="0"/>
        <v>0.10398355000000001</v>
      </c>
      <c r="E34" s="231">
        <v>0.59093557949754583</v>
      </c>
      <c r="F34" s="231">
        <f>F30</f>
        <v>-0.4519178921003224</v>
      </c>
      <c r="G34" s="231">
        <f>VLOOKUP($A$11,'[1]6.2. отчет'!$D:$FK,114,0)</f>
        <v>0.10398355000000001</v>
      </c>
      <c r="H34" s="231">
        <v>0</v>
      </c>
      <c r="I34" s="231">
        <v>0</v>
      </c>
      <c r="J34" s="231">
        <f>VLOOKUP($A$11,'[1]6.2. отчет'!$D:$FK,134,0)</f>
        <v>0</v>
      </c>
      <c r="K34" s="231">
        <f>IF(J34=0,0,VLOOKUP($A$11,'[1]6.2. отчет'!$D:$FK,159,0))</f>
        <v>0</v>
      </c>
    </row>
    <row r="35" spans="1:11" ht="37.5" customHeight="1" x14ac:dyDescent="0.25">
      <c r="A35" s="59" t="s">
        <v>16</v>
      </c>
      <c r="B35" s="58" t="s">
        <v>84</v>
      </c>
      <c r="C35" s="231"/>
      <c r="D35" s="231"/>
      <c r="E35" s="231"/>
      <c r="F35" s="231"/>
      <c r="G35" s="231"/>
      <c r="H35" s="231"/>
      <c r="I35" s="232"/>
      <c r="J35" s="231"/>
      <c r="K35" s="232"/>
    </row>
    <row r="36" spans="1:11" ht="31.5" x14ac:dyDescent="0.25">
      <c r="A36" s="57" t="s">
        <v>83</v>
      </c>
      <c r="B36" s="233" t="s">
        <v>82</v>
      </c>
      <c r="C36" s="231">
        <f>IF('1. паспорт местоположение'!$C$22="Прочие инвестиционные проекты",0,VLOOKUP($A$11,'[1]6.2. отчет'!$D:$FX,168,0))</f>
        <v>0</v>
      </c>
      <c r="D36" s="231">
        <v>0</v>
      </c>
      <c r="E36" s="231">
        <f t="shared" ref="E36:E57" si="1">F36+G36</f>
        <v>0</v>
      </c>
      <c r="F36" s="231">
        <f>C36</f>
        <v>0</v>
      </c>
      <c r="G36" s="231">
        <f>IF('1. паспорт местоположение'!$C$22="Прочие инвестиционные проекты",0,VLOOKUP($A$11,'[1]6.2. отчет'!$D:$GJ,180,0))</f>
        <v>0</v>
      </c>
      <c r="H36" s="231">
        <f>IF('1. паспорт местоположение'!$C$22="Прочие инвестиционные проекты",0,VLOOKUP($A$11,'[1]6.2. отчет'!$D:$AGO,191,0))</f>
        <v>0</v>
      </c>
      <c r="I36" s="231">
        <f>IF('1. паспорт местоположение'!$C$22="Прочие инвестиционные проекты",0,VLOOKUP($A$11,'[1]6.2. отчет'!$D:$AGO,246,0))</f>
        <v>0</v>
      </c>
      <c r="J36" s="231">
        <f>IF('1. паспорт местоположение'!$C$22="Прочие инвестиционные проекты",0,VLOOKUP($A$11,'[1]6.2. отчет'!$D:$AGO,257,0))</f>
        <v>0</v>
      </c>
      <c r="K36" s="231">
        <f>IF('1. паспорт местоположение'!$C$22="Прочие инвестиционные проекты",0,VLOOKUP($A$11,'[1]6.2. отчет'!$D:$AGO,312,0))</f>
        <v>0</v>
      </c>
    </row>
    <row r="37" spans="1:11" x14ac:dyDescent="0.25">
      <c r="A37" s="57" t="s">
        <v>81</v>
      </c>
      <c r="B37" s="233" t="s">
        <v>71</v>
      </c>
      <c r="C37" s="231">
        <f>IF('1. паспорт местоположение'!$C$22="Прочие инвестиционные проекты",0,VLOOKUP($A$11,'[1]6.2. отчет'!$D:$FX,169,0))</f>
        <v>0</v>
      </c>
      <c r="D37" s="231">
        <v>0</v>
      </c>
      <c r="E37" s="231">
        <f t="shared" si="1"/>
        <v>0</v>
      </c>
      <c r="F37" s="231">
        <f t="shared" ref="F37:F64" si="2">C37</f>
        <v>0</v>
      </c>
      <c r="G37" s="231">
        <f>IF('1. паспорт местоположение'!$C$22="Прочие инвестиционные проекты",0,VLOOKUP($A$11,'[1]6.2. отчет'!$D:$GJ,181,0))</f>
        <v>0</v>
      </c>
      <c r="H37" s="231">
        <f>IF('1. паспорт местоположение'!$C$22="Прочие инвестиционные проекты",0,VLOOKUP($A$11,'[1]6.2. отчет'!$D:$AGO,192,0))</f>
        <v>0</v>
      </c>
      <c r="I37" s="231">
        <f>IF('1. паспорт местоположение'!$C$22="Прочие инвестиционные проекты",0,VLOOKUP($A$11,'[1]6.2. отчет'!$D:$AGO,247,0))</f>
        <v>0</v>
      </c>
      <c r="J37" s="231">
        <f>IF('1. паспорт местоположение'!$C$22="Прочие инвестиционные проекты",0,VLOOKUP($A$11,'[1]6.2. отчет'!$D:$AGO,258,0))</f>
        <v>0</v>
      </c>
      <c r="K37" s="231">
        <f>IF('1. паспорт местоположение'!$C$22="Прочие инвестиционные проекты",0,VLOOKUP($A$11,'[1]6.2. отчет'!$D:$AGO,313,0))</f>
        <v>0</v>
      </c>
    </row>
    <row r="38" spans="1:11" x14ac:dyDescent="0.25">
      <c r="A38" s="57" t="s">
        <v>80</v>
      </c>
      <c r="B38" s="233" t="s">
        <v>69</v>
      </c>
      <c r="C38" s="231">
        <f>IF('1. паспорт местоположение'!$C$22="Прочие инвестиционные проекты",0,VLOOKUP($A$11,'[1]6.2. отчет'!$D:$FX,170,0))</f>
        <v>0</v>
      </c>
      <c r="D38" s="231">
        <v>0</v>
      </c>
      <c r="E38" s="231">
        <f t="shared" si="1"/>
        <v>0</v>
      </c>
      <c r="F38" s="231">
        <f t="shared" si="2"/>
        <v>0</v>
      </c>
      <c r="G38" s="231">
        <f>IF('1. паспорт местоположение'!$C$22="Прочие инвестиционные проекты",0,VLOOKUP($A$11,'[1]6.2. отчет'!$D:$GJ,182,0))</f>
        <v>0</v>
      </c>
      <c r="H38" s="231">
        <f>IF('1. паспорт местоположение'!$C$22="Прочие инвестиционные проекты",0,VLOOKUP($A$11,'[1]6.2. отчет'!$D:$AGO,193,0))</f>
        <v>0</v>
      </c>
      <c r="I38" s="231">
        <f>IF('1. паспорт местоположение'!$C$22="Прочие инвестиционные проекты",0,VLOOKUP($A$11,'[1]6.2. отчет'!$D:$AGO,248,0))</f>
        <v>0</v>
      </c>
      <c r="J38" s="231">
        <f>IF('1. паспорт местоположение'!$C$22="Прочие инвестиционные проекты",0,VLOOKUP($A$11,'[1]6.2. отчет'!$D:$AGO,259,0))</f>
        <v>0</v>
      </c>
      <c r="K38" s="231">
        <f>IF('1. паспорт местоположение'!$C$22="Прочие инвестиционные проекты",0,VLOOKUP($A$11,'[1]6.2. отчет'!$D:$AGO,314,0))</f>
        <v>0</v>
      </c>
    </row>
    <row r="39" spans="1:11" ht="31.5" x14ac:dyDescent="0.25">
      <c r="A39" s="57" t="s">
        <v>79</v>
      </c>
      <c r="B39" s="37" t="s">
        <v>67</v>
      </c>
      <c r="C39" s="231">
        <f>IF('1. паспорт местоположение'!$C$22="Прочие инвестиционные проекты",0,VLOOKUP($A$11,'[1]6.2. отчет'!$D:$FX,172,0))</f>
        <v>0.5</v>
      </c>
      <c r="D39" s="231">
        <v>0.16400000000000001</v>
      </c>
      <c r="E39" s="231">
        <f t="shared" si="1"/>
        <v>0.16400000000000001</v>
      </c>
      <c r="F39" s="231">
        <v>0</v>
      </c>
      <c r="G39" s="231">
        <f>IF('1. паспорт местоположение'!$C$22="Прочие инвестиционные проекты",0,VLOOKUP($A$11,'[1]6.2. отчет'!$D:$GJ,184,0))</f>
        <v>0.16400000000000001</v>
      </c>
      <c r="H39" s="231">
        <f>IF('1. паспорт местоположение'!$C$22="Прочие инвестиционные проекты",0,VLOOKUP($A$11,'[1]6.2. отчет'!$D:$AGO,195,0))</f>
        <v>0</v>
      </c>
      <c r="I39" s="231">
        <f>IF('1. паспорт местоположение'!$C$22="Прочие инвестиционные проекты",0,VLOOKUP($A$11,'[1]6.2. отчет'!$D:$AGO,250,0))</f>
        <v>0</v>
      </c>
      <c r="J39" s="231">
        <f>IF('1. паспорт местоположение'!$C$22="Прочие инвестиционные проекты",0,VLOOKUP($A$11,'[1]6.2. отчет'!$D:$AGO,261,0))</f>
        <v>0</v>
      </c>
      <c r="K39" s="231">
        <f>IF('1. паспорт местоположение'!$C$22="Прочие инвестиционные проекты",0,VLOOKUP($A$11,'[1]6.2. отчет'!$D:$AGO,316,0))</f>
        <v>0</v>
      </c>
    </row>
    <row r="40" spans="1:11" s="108" customFormat="1" ht="31.5" x14ac:dyDescent="0.25">
      <c r="A40" s="57" t="s">
        <v>78</v>
      </c>
      <c r="B40" s="37" t="s">
        <v>65</v>
      </c>
      <c r="C40" s="231">
        <f>IF('1. паспорт местоположение'!$C$22="Прочие инвестиционные проекты",0,VLOOKUP($A$11,'[1]6.2. отчет'!$D:$FX,173,0))</f>
        <v>0</v>
      </c>
      <c r="D40" s="231">
        <v>0</v>
      </c>
      <c r="E40" s="231">
        <f t="shared" si="1"/>
        <v>0</v>
      </c>
      <c r="F40" s="231">
        <f t="shared" si="2"/>
        <v>0</v>
      </c>
      <c r="G40" s="231">
        <f>IF('1. паспорт местоположение'!$C$22="Прочие инвестиционные проекты",0,VLOOKUP($A$11,'[1]6.2. отчет'!$D:$GJ,185,0))</f>
        <v>0</v>
      </c>
      <c r="H40" s="231">
        <f>IF('1. паспорт местоположение'!$C$22="Прочие инвестиционные проекты",0,VLOOKUP($A$11,'[1]6.2. отчет'!$D:$AGO,196,0))</f>
        <v>0</v>
      </c>
      <c r="I40" s="231">
        <f>IF('1. паспорт местоположение'!$C$22="Прочие инвестиционные проекты",0,VLOOKUP($A$11,'[1]6.2. отчет'!$D:$AGO,251,0))</f>
        <v>0</v>
      </c>
      <c r="J40" s="231">
        <f>IF('1. паспорт местоположение'!$C$22="Прочие инвестиционные проекты",0,VLOOKUP($A$11,'[1]6.2. отчет'!$D:$AGO,262,0))</f>
        <v>0</v>
      </c>
      <c r="K40" s="231">
        <f>IF('1. паспорт местоположение'!$C$22="Прочие инвестиционные проекты",0,VLOOKUP($A$11,'[1]6.2. отчет'!$D:$AGO,317,0))</f>
        <v>0</v>
      </c>
    </row>
    <row r="41" spans="1:11" x14ac:dyDescent="0.25">
      <c r="A41" s="57" t="s">
        <v>77</v>
      </c>
      <c r="B41" s="37" t="s">
        <v>63</v>
      </c>
      <c r="C41" s="231">
        <f>IF('1. паспорт местоположение'!$C$22="Прочие инвестиционные проекты",0,VLOOKUP($A$11,'[1]6.2. отчет'!$D:$FX,174,0))</f>
        <v>0</v>
      </c>
      <c r="D41" s="231">
        <v>0</v>
      </c>
      <c r="E41" s="231">
        <f t="shared" si="1"/>
        <v>0</v>
      </c>
      <c r="F41" s="231">
        <f t="shared" si="2"/>
        <v>0</v>
      </c>
      <c r="G41" s="231">
        <f>IF('1. паспорт местоположение'!$C$22="Прочие инвестиционные проекты",0,VLOOKUP($A$11,'[1]6.2. отчет'!$D:$GJ,186,0))</f>
        <v>0</v>
      </c>
      <c r="H41" s="231">
        <f>IF('1. паспорт местоположение'!$C$22="Прочие инвестиционные проекты",0,VLOOKUP($A$11,'[1]6.2. отчет'!$D:$AGO,197,0))</f>
        <v>0</v>
      </c>
      <c r="I41" s="231">
        <f>IF('1. паспорт местоположение'!$C$22="Прочие инвестиционные проекты",0,VLOOKUP($A$11,'[1]6.2. отчет'!$D:$AGO,252,0))</f>
        <v>0</v>
      </c>
      <c r="J41" s="231">
        <f>IF('1. паспорт местоположение'!$C$22="Прочие инвестиционные проекты",0,VLOOKUP($A$11,'[1]6.2. отчет'!$D:$AGO,263,0))</f>
        <v>0</v>
      </c>
      <c r="K41" s="231">
        <f>IF('1. паспорт местоположение'!$C$22="Прочие инвестиционные проекты",0,VLOOKUP($A$11,'[1]6.2. отчет'!$D:$AGO,318,0))</f>
        <v>0</v>
      </c>
    </row>
    <row r="42" spans="1:11" ht="18.75" x14ac:dyDescent="0.25">
      <c r="A42" s="57" t="s">
        <v>76</v>
      </c>
      <c r="B42" s="233" t="s">
        <v>61</v>
      </c>
      <c r="C42" s="231">
        <f>IF('1. паспорт местоположение'!$C$22="Прочие инвестиционные проекты",0,VLOOKUP($A$11,'[1]6.2. отчет'!$D:$FX,177,0))</f>
        <v>0</v>
      </c>
      <c r="D42" s="231">
        <v>0</v>
      </c>
      <c r="E42" s="231">
        <f t="shared" si="1"/>
        <v>0</v>
      </c>
      <c r="F42" s="231">
        <f t="shared" si="2"/>
        <v>0</v>
      </c>
      <c r="G42" s="231">
        <f>IF('1. паспорт местоположение'!$C$22="Прочие инвестиционные проекты",0,VLOOKUP($A$11,'[1]6.2. отчет'!$D:$GJ,189,0))</f>
        <v>0</v>
      </c>
      <c r="H42" s="231">
        <f>IF('1. паспорт местоположение'!$C$22="Прочие инвестиционные проекты",0,VLOOKUP($A$11,'[1]6.2. отчет'!$D:$AGO,200,0))</f>
        <v>0</v>
      </c>
      <c r="I42" s="231">
        <f>IF('1. паспорт местоположение'!$C$22="Прочие инвестиционные проекты",0,VLOOKUP($A$11,'[1]6.2. отчет'!$D:$AGO,255,0))</f>
        <v>0</v>
      </c>
      <c r="J42" s="231">
        <f>IF('1. паспорт местоположение'!$C$22="Прочие инвестиционные проекты",0,VLOOKUP($A$11,'[1]6.2. отчет'!$D:$AGO,266,0))</f>
        <v>0</v>
      </c>
      <c r="K42" s="231">
        <f>IF('1. паспорт местоположение'!$C$22="Прочие инвестиционные проекты",0,VLOOKUP($A$11,'[1]6.2. отчет'!$D:$AGO,321,0))</f>
        <v>0</v>
      </c>
    </row>
    <row r="43" spans="1:11" ht="21" customHeight="1" x14ac:dyDescent="0.25">
      <c r="A43" s="59" t="s">
        <v>15</v>
      </c>
      <c r="B43" s="58" t="s">
        <v>75</v>
      </c>
      <c r="C43" s="231"/>
      <c r="D43" s="231"/>
      <c r="E43" s="231"/>
      <c r="F43" s="231">
        <f t="shared" si="2"/>
        <v>0</v>
      </c>
      <c r="G43" s="231"/>
      <c r="H43" s="231"/>
      <c r="I43" s="232"/>
      <c r="J43" s="231"/>
      <c r="K43" s="232"/>
    </row>
    <row r="44" spans="1:11" x14ac:dyDescent="0.25">
      <c r="A44" s="57" t="s">
        <v>74</v>
      </c>
      <c r="B44" s="37" t="s">
        <v>73</v>
      </c>
      <c r="C44" s="231">
        <f>VLOOKUP($A$11,'[1]6.2. отчет'!$D:$FX,168,0)</f>
        <v>0</v>
      </c>
      <c r="D44" s="231">
        <v>0</v>
      </c>
      <c r="E44" s="231">
        <f t="shared" si="1"/>
        <v>0</v>
      </c>
      <c r="F44" s="231">
        <f t="shared" si="2"/>
        <v>0</v>
      </c>
      <c r="G44" s="231">
        <f>VLOOKUP($A$11,'[1]6.2. отчет'!$D:$GJ,180,0)</f>
        <v>0</v>
      </c>
      <c r="H44" s="231">
        <f>VLOOKUP($A$11,'[1]6.2. отчет'!$D:$AGO,191,0)</f>
        <v>0</v>
      </c>
      <c r="I44" s="231">
        <f>VLOOKUP($A$11,'[1]6.2. отчет'!$D:$AGO,246,0)</f>
        <v>0</v>
      </c>
      <c r="J44" s="231">
        <f>VLOOKUP($A$11,'[1]6.2. отчет'!$D:$AGO,257,0)</f>
        <v>0</v>
      </c>
      <c r="K44" s="231">
        <f>VLOOKUP($A$11,'[1]6.2. отчет'!$D:$AGO,312,0)</f>
        <v>0</v>
      </c>
    </row>
    <row r="45" spans="1:11" x14ac:dyDescent="0.25">
      <c r="A45" s="57" t="s">
        <v>72</v>
      </c>
      <c r="B45" s="37" t="s">
        <v>71</v>
      </c>
      <c r="C45" s="231">
        <f>VLOOKUP($A$11,'[1]6.2. отчет'!$D:$FX,169,0)</f>
        <v>0</v>
      </c>
      <c r="D45" s="231">
        <v>0</v>
      </c>
      <c r="E45" s="231">
        <f t="shared" si="1"/>
        <v>0</v>
      </c>
      <c r="F45" s="231">
        <f t="shared" si="2"/>
        <v>0</v>
      </c>
      <c r="G45" s="231">
        <f>VLOOKUP($A$11,'[1]6.2. отчет'!$D:$GJ,181,0)</f>
        <v>0</v>
      </c>
      <c r="H45" s="231">
        <f>VLOOKUP($A$11,'[1]6.2. отчет'!$D:$AGO,192,0)</f>
        <v>0</v>
      </c>
      <c r="I45" s="231">
        <f>VLOOKUP($A$11,'[1]6.2. отчет'!$D:$AGO,247,0)</f>
        <v>0</v>
      </c>
      <c r="J45" s="231">
        <f>VLOOKUP($A$11,'[1]6.2. отчет'!$D:$AGO,258,0)</f>
        <v>0</v>
      </c>
      <c r="K45" s="231">
        <f>VLOOKUP($A$11,'[1]6.2. отчет'!$D:$AGO,313,0)</f>
        <v>0</v>
      </c>
    </row>
    <row r="46" spans="1:11" x14ac:dyDescent="0.25">
      <c r="A46" s="57" t="s">
        <v>70</v>
      </c>
      <c r="B46" s="37" t="s">
        <v>69</v>
      </c>
      <c r="C46" s="231">
        <f>VLOOKUP($A$11,'[1]6.2. отчет'!$D:$FX,170,0)</f>
        <v>0</v>
      </c>
      <c r="D46" s="231">
        <v>0</v>
      </c>
      <c r="E46" s="231">
        <f t="shared" si="1"/>
        <v>0</v>
      </c>
      <c r="F46" s="231">
        <f t="shared" si="2"/>
        <v>0</v>
      </c>
      <c r="G46" s="231">
        <f>VLOOKUP($A$11,'[1]6.2. отчет'!$D:$GJ,182,0)</f>
        <v>0</v>
      </c>
      <c r="H46" s="231">
        <f>VLOOKUP($A$11,'[1]6.2. отчет'!$D:$AGO,193,0)</f>
        <v>0</v>
      </c>
      <c r="I46" s="231">
        <f>VLOOKUP($A$11,'[1]6.2. отчет'!$D:$AGO,248,0)</f>
        <v>0</v>
      </c>
      <c r="J46" s="231">
        <f>VLOOKUP($A$11,'[1]6.2. отчет'!$D:$AGO,259,0)</f>
        <v>0</v>
      </c>
      <c r="K46" s="231">
        <f>VLOOKUP($A$11,'[1]6.2. отчет'!$D:$AGO,314,0)</f>
        <v>0</v>
      </c>
    </row>
    <row r="47" spans="1:11" ht="31.5" x14ac:dyDescent="0.25">
      <c r="A47" s="57" t="s">
        <v>68</v>
      </c>
      <c r="B47" s="37" t="s">
        <v>67</v>
      </c>
      <c r="C47" s="231">
        <f>VLOOKUP($A$11,'[1]6.2. отчет'!$D:$FX,172,0)</f>
        <v>0.5</v>
      </c>
      <c r="D47" s="231">
        <v>0.16400000000000001</v>
      </c>
      <c r="E47" s="231">
        <f t="shared" si="1"/>
        <v>0.16400000000000001</v>
      </c>
      <c r="F47" s="231">
        <v>0</v>
      </c>
      <c r="G47" s="231">
        <f>VLOOKUP($A$11,'[1]6.2. отчет'!$D:$GJ,184,0)</f>
        <v>0.16400000000000001</v>
      </c>
      <c r="H47" s="231">
        <f>VLOOKUP($A$11,'[1]6.2. отчет'!$D:$AGO,195,0)</f>
        <v>0</v>
      </c>
      <c r="I47" s="231">
        <f>VLOOKUP($A$11,'[1]6.2. отчет'!$D:$AGO,250,0)</f>
        <v>0</v>
      </c>
      <c r="J47" s="231">
        <f>VLOOKUP($A$11,'[1]6.2. отчет'!$D:$AGO,261,0)</f>
        <v>0</v>
      </c>
      <c r="K47" s="231">
        <f>VLOOKUP($A$11,'[1]6.2. отчет'!$D:$AGO,316,0)</f>
        <v>0</v>
      </c>
    </row>
    <row r="48" spans="1:11" ht="33" customHeight="1" x14ac:dyDescent="0.25">
      <c r="A48" s="57" t="s">
        <v>66</v>
      </c>
      <c r="B48" s="37" t="s">
        <v>65</v>
      </c>
      <c r="C48" s="231">
        <f>VLOOKUP($A$11,'[1]6.2. отчет'!$D:$FX,173,0)</f>
        <v>0</v>
      </c>
      <c r="D48" s="231">
        <v>0</v>
      </c>
      <c r="E48" s="231">
        <f t="shared" si="1"/>
        <v>0</v>
      </c>
      <c r="F48" s="231">
        <f t="shared" si="2"/>
        <v>0</v>
      </c>
      <c r="G48" s="231">
        <f>VLOOKUP($A$11,'[1]6.2. отчет'!$D:$GJ,185,0)</f>
        <v>0</v>
      </c>
      <c r="H48" s="231">
        <f>VLOOKUP($A$11,'[1]6.2. отчет'!$D:$AGO,196,0)</f>
        <v>0</v>
      </c>
      <c r="I48" s="231">
        <f>VLOOKUP($A$11,'[1]6.2. отчет'!$D:$AGO,251,0)</f>
        <v>0</v>
      </c>
      <c r="J48" s="231">
        <f>VLOOKUP($A$11,'[1]6.2. отчет'!$D:$AGO,262,0)</f>
        <v>0</v>
      </c>
      <c r="K48" s="231">
        <f>VLOOKUP($A$11,'[1]6.2. отчет'!$D:$AGO,317,0)</f>
        <v>0</v>
      </c>
    </row>
    <row r="49" spans="1:11" ht="19.5" customHeight="1" x14ac:dyDescent="0.25">
      <c r="A49" s="57" t="s">
        <v>64</v>
      </c>
      <c r="B49" s="37" t="s">
        <v>63</v>
      </c>
      <c r="C49" s="231">
        <f>VLOOKUP($A$11,'[1]6.2. отчет'!$D:$FX,174,0)</f>
        <v>0</v>
      </c>
      <c r="D49" s="231">
        <v>0</v>
      </c>
      <c r="E49" s="231">
        <f t="shared" si="1"/>
        <v>0</v>
      </c>
      <c r="F49" s="231">
        <f t="shared" si="2"/>
        <v>0</v>
      </c>
      <c r="G49" s="231">
        <f>VLOOKUP($A$11,'[1]6.2. отчет'!$D:$GJ,186,0)</f>
        <v>0</v>
      </c>
      <c r="H49" s="231">
        <f>VLOOKUP($A$11,'[1]6.2. отчет'!$D:$AGO,197,0)</f>
        <v>0</v>
      </c>
      <c r="I49" s="231">
        <f>VLOOKUP($A$11,'[1]6.2. отчет'!$D:$AGO,252,0)</f>
        <v>0</v>
      </c>
      <c r="J49" s="231">
        <f>VLOOKUP($A$11,'[1]6.2. отчет'!$D:$AGO,263,0)</f>
        <v>0</v>
      </c>
      <c r="K49" s="231">
        <f>VLOOKUP($A$11,'[1]6.2. отчет'!$D:$AGO,318,0)</f>
        <v>0</v>
      </c>
    </row>
    <row r="50" spans="1:11" ht="24.75" customHeight="1" x14ac:dyDescent="0.25">
      <c r="A50" s="57" t="s">
        <v>62</v>
      </c>
      <c r="B50" s="233" t="s">
        <v>61</v>
      </c>
      <c r="C50" s="231">
        <f>VLOOKUP($A$11,'[1]6.2. отчет'!$D:$FX,177,0)</f>
        <v>0</v>
      </c>
      <c r="D50" s="231">
        <v>0</v>
      </c>
      <c r="E50" s="231">
        <f t="shared" si="1"/>
        <v>0</v>
      </c>
      <c r="F50" s="231">
        <f t="shared" si="2"/>
        <v>0</v>
      </c>
      <c r="G50" s="231">
        <f>VLOOKUP($A$11,'[1]6.2. отчет'!$D:$GJ,189,0)</f>
        <v>0</v>
      </c>
      <c r="H50" s="231">
        <f>VLOOKUP($A$11,'[1]6.2. отчет'!$D:$AGO,200,0)</f>
        <v>0</v>
      </c>
      <c r="I50" s="231">
        <f>VLOOKUP($A$11,'[1]6.2. отчет'!$D:$AGO,255,0)</f>
        <v>0</v>
      </c>
      <c r="J50" s="231">
        <f>VLOOKUP($A$11,'[1]6.2. отчет'!$D:$AGO,266,0)</f>
        <v>0</v>
      </c>
      <c r="K50" s="231">
        <f>VLOOKUP($A$11,'[1]6.2. отчет'!$D:$AGO,321,0)</f>
        <v>0</v>
      </c>
    </row>
    <row r="51" spans="1:11" ht="36.75" customHeight="1" x14ac:dyDescent="0.25">
      <c r="A51" s="59" t="s">
        <v>13</v>
      </c>
      <c r="B51" s="58" t="s">
        <v>60</v>
      </c>
      <c r="C51" s="231"/>
      <c r="D51" s="231"/>
      <c r="E51" s="231"/>
      <c r="F51" s="231">
        <f t="shared" si="2"/>
        <v>0</v>
      </c>
      <c r="G51" s="231"/>
      <c r="H51" s="231"/>
      <c r="I51" s="232"/>
      <c r="J51" s="231"/>
      <c r="K51" s="232"/>
    </row>
    <row r="52" spans="1:11" x14ac:dyDescent="0.25">
      <c r="A52" s="57" t="s">
        <v>59</v>
      </c>
      <c r="B52" s="37" t="s">
        <v>58</v>
      </c>
      <c r="C52" s="231">
        <f>VLOOKUP($A$11,'[1]6.2. отчет'!$D:$FX,167,0)</f>
        <v>4.1280298478996782</v>
      </c>
      <c r="D52" s="231">
        <v>4.5799477400000006</v>
      </c>
      <c r="E52" s="231">
        <f t="shared" si="1"/>
        <v>4.5799477400000006</v>
      </c>
      <c r="F52" s="231">
        <v>0</v>
      </c>
      <c r="G52" s="231">
        <f>VLOOKUP($A$11,'[1]6.2. отчет'!$D:$GJ,179,0)</f>
        <v>4.5799477400000006</v>
      </c>
      <c r="H52" s="231">
        <f>VLOOKUP($A$11,'[1]6.2. отчет'!$D:$AGO,190,0)</f>
        <v>0</v>
      </c>
      <c r="I52" s="231">
        <f>VLOOKUP($A$11,'[1]6.2. отчет'!$D:$AGO,245,0)</f>
        <v>0</v>
      </c>
      <c r="J52" s="231">
        <f>VLOOKUP($A$11,'[1]6.2. отчет'!$D:$AGO,256,0)</f>
        <v>0</v>
      </c>
      <c r="K52" s="231">
        <f>VLOOKUP($A$11,'[1]6.2. отчет'!$D:$AGO,311,0)</f>
        <v>0</v>
      </c>
    </row>
    <row r="53" spans="1:11" x14ac:dyDescent="0.25">
      <c r="A53" s="57" t="s">
        <v>57</v>
      </c>
      <c r="B53" s="37" t="s">
        <v>51</v>
      </c>
      <c r="C53" s="231">
        <f>VLOOKUP($A$11,'[1]6.2. отчет'!$D:$FX,168,0)</f>
        <v>0</v>
      </c>
      <c r="D53" s="231">
        <v>0</v>
      </c>
      <c r="E53" s="231">
        <f t="shared" si="1"/>
        <v>0</v>
      </c>
      <c r="F53" s="231">
        <f t="shared" si="2"/>
        <v>0</v>
      </c>
      <c r="G53" s="231">
        <f>VLOOKUP($A$11,'[1]6.2. отчет'!$D:$GJ,180,0)</f>
        <v>0</v>
      </c>
      <c r="H53" s="231">
        <f>VLOOKUP($A$11,'[1]6.2. отчет'!$D:$AGO,191,0)</f>
        <v>0</v>
      </c>
      <c r="I53" s="231">
        <f>VLOOKUP($A$11,'[1]6.2. отчет'!$D:$AGO,246,0)</f>
        <v>0</v>
      </c>
      <c r="J53" s="231">
        <f>VLOOKUP($A$11,'[1]6.2. отчет'!$D:$AGO,257,0)</f>
        <v>0</v>
      </c>
      <c r="K53" s="231">
        <f>VLOOKUP($A$11,'[1]6.2. отчет'!$D:$AGO,312,0)</f>
        <v>0</v>
      </c>
    </row>
    <row r="54" spans="1:11" x14ac:dyDescent="0.25">
      <c r="A54" s="57" t="s">
        <v>56</v>
      </c>
      <c r="B54" s="233" t="s">
        <v>50</v>
      </c>
      <c r="C54" s="231">
        <f>VLOOKUP($A$11,'[1]6.2. отчет'!$D:$FX,169,0)</f>
        <v>0</v>
      </c>
      <c r="D54" s="231">
        <v>0</v>
      </c>
      <c r="E54" s="231">
        <f t="shared" si="1"/>
        <v>0</v>
      </c>
      <c r="F54" s="231">
        <f t="shared" si="2"/>
        <v>0</v>
      </c>
      <c r="G54" s="231">
        <f>VLOOKUP($A$11,'[1]6.2. отчет'!$D:$GJ,181,0)</f>
        <v>0</v>
      </c>
      <c r="H54" s="231">
        <f>VLOOKUP($A$11,'[1]6.2. отчет'!$D:$AGO,192,0)</f>
        <v>0</v>
      </c>
      <c r="I54" s="231">
        <f>VLOOKUP($A$11,'[1]6.2. отчет'!$D:$AGO,247,0)</f>
        <v>0</v>
      </c>
      <c r="J54" s="231">
        <f>VLOOKUP($A$11,'[1]6.2. отчет'!$D:$AGO,258,0)</f>
        <v>0</v>
      </c>
      <c r="K54" s="231">
        <f>VLOOKUP($A$11,'[1]6.2. отчет'!$D:$AGO,313,0)</f>
        <v>0</v>
      </c>
    </row>
    <row r="55" spans="1:11" x14ac:dyDescent="0.25">
      <c r="A55" s="57" t="s">
        <v>55</v>
      </c>
      <c r="B55" s="233" t="s">
        <v>49</v>
      </c>
      <c r="C55" s="231">
        <f>VLOOKUP($A$11,'[1]6.2. отчет'!$D:$FX,170,0)</f>
        <v>0</v>
      </c>
      <c r="D55" s="231">
        <v>0</v>
      </c>
      <c r="E55" s="231">
        <f t="shared" si="1"/>
        <v>0</v>
      </c>
      <c r="F55" s="231">
        <f t="shared" si="2"/>
        <v>0</v>
      </c>
      <c r="G55" s="231">
        <f>VLOOKUP($A$11,'[1]6.2. отчет'!$D:$GJ,182,0)</f>
        <v>0</v>
      </c>
      <c r="H55" s="231">
        <f>VLOOKUP($A$11,'[1]6.2. отчет'!$D:$AGO,193,0)</f>
        <v>0</v>
      </c>
      <c r="I55" s="231">
        <f>VLOOKUP($A$11,'[1]6.2. отчет'!$D:$AGO,248,0)</f>
        <v>0</v>
      </c>
      <c r="J55" s="231">
        <f>VLOOKUP($A$11,'[1]6.2. отчет'!$D:$AGO,259,0)</f>
        <v>0</v>
      </c>
      <c r="K55" s="231">
        <f>VLOOKUP($A$11,'[1]6.2. отчет'!$D:$AGO,314,0)</f>
        <v>0</v>
      </c>
    </row>
    <row r="56" spans="1:11" x14ac:dyDescent="0.25">
      <c r="A56" s="57" t="s">
        <v>54</v>
      </c>
      <c r="B56" s="233" t="s">
        <v>48</v>
      </c>
      <c r="C56" s="231">
        <f>VLOOKUP($A$11,'[1]6.2. отчет'!$D:$FX,171,0)</f>
        <v>0.5</v>
      </c>
      <c r="D56" s="231">
        <v>0.16400000000000001</v>
      </c>
      <c r="E56" s="231">
        <f t="shared" si="1"/>
        <v>0.16400000000000001</v>
      </c>
      <c r="F56" s="231">
        <v>0</v>
      </c>
      <c r="G56" s="231">
        <f>VLOOKUP($A$11,'[1]6.2. отчет'!$D:$GJ,183,0)</f>
        <v>0.16400000000000001</v>
      </c>
      <c r="H56" s="231">
        <f>VLOOKUP($A$11,'[1]6.2. отчет'!$D:$AGO,194,0)</f>
        <v>0</v>
      </c>
      <c r="I56" s="231">
        <f>VLOOKUP($A$11,'[1]6.2. отчет'!$D:$AGO,249,0)</f>
        <v>0</v>
      </c>
      <c r="J56" s="231">
        <f>VLOOKUP($A$11,'[1]6.2. отчет'!$D:$AGO,260,0)</f>
        <v>0</v>
      </c>
      <c r="K56" s="231">
        <f>VLOOKUP($A$11,'[1]6.2. отчет'!$D:$AGO,315,0)</f>
        <v>0</v>
      </c>
    </row>
    <row r="57" spans="1:11" ht="18.75" x14ac:dyDescent="0.25">
      <c r="A57" s="57" t="s">
        <v>53</v>
      </c>
      <c r="B57" s="233" t="s">
        <v>47</v>
      </c>
      <c r="C57" s="231">
        <f>VLOOKUP($A$11,'[1]6.2. отчет'!$D:$FX,177,0)</f>
        <v>0</v>
      </c>
      <c r="D57" s="231">
        <v>0</v>
      </c>
      <c r="E57" s="231">
        <f t="shared" si="1"/>
        <v>0</v>
      </c>
      <c r="F57" s="231">
        <f t="shared" si="2"/>
        <v>0</v>
      </c>
      <c r="G57" s="231">
        <f>VLOOKUP($A$11,'[1]6.2. отчет'!$D:$GJ,189,0)</f>
        <v>0</v>
      </c>
      <c r="H57" s="231">
        <f>VLOOKUP($A$11,'[1]6.2. отчет'!$D:$AGO,200,0)</f>
        <v>0</v>
      </c>
      <c r="I57" s="231">
        <f>VLOOKUP($A$11,'[1]6.2. отчет'!$D:$AGO,255,0)</f>
        <v>0</v>
      </c>
      <c r="J57" s="231">
        <f>VLOOKUP($A$11,'[1]6.2. отчет'!$D:$AGO,266,0)</f>
        <v>0</v>
      </c>
      <c r="K57" s="231">
        <f>VLOOKUP($A$11,'[1]6.2. отчет'!$D:$AGO,321,0)</f>
        <v>0</v>
      </c>
    </row>
    <row r="58" spans="1:11" ht="40.5" customHeight="1" x14ac:dyDescent="0.25">
      <c r="A58" s="59" t="s">
        <v>12</v>
      </c>
      <c r="B58" s="234" t="s">
        <v>149</v>
      </c>
      <c r="C58" s="231"/>
      <c r="D58" s="231"/>
      <c r="E58" s="231"/>
      <c r="F58" s="231">
        <f t="shared" si="2"/>
        <v>0</v>
      </c>
      <c r="G58" s="231"/>
      <c r="H58" s="231"/>
      <c r="I58" s="232"/>
      <c r="J58" s="231"/>
      <c r="K58" s="232"/>
    </row>
    <row r="59" spans="1:11" ht="19.5" customHeight="1" x14ac:dyDescent="0.25">
      <c r="A59" s="59" t="s">
        <v>10</v>
      </c>
      <c r="B59" s="58" t="s">
        <v>52</v>
      </c>
      <c r="C59" s="231"/>
      <c r="D59" s="231"/>
      <c r="E59" s="231"/>
      <c r="F59" s="231">
        <f t="shared" si="2"/>
        <v>0</v>
      </c>
      <c r="G59" s="231"/>
      <c r="H59" s="231"/>
      <c r="I59" s="232"/>
      <c r="J59" s="231"/>
      <c r="K59" s="232"/>
    </row>
    <row r="60" spans="1:11" x14ac:dyDescent="0.25">
      <c r="A60" s="57" t="s">
        <v>143</v>
      </c>
      <c r="B60" s="235" t="s">
        <v>73</v>
      </c>
      <c r="C60" s="231">
        <f>VLOOKUP($A$11,'[1]6.2. отчет'!$D:$AGO,326,0)</f>
        <v>0</v>
      </c>
      <c r="D60" s="231">
        <v>0</v>
      </c>
      <c r="E60" s="231">
        <f>F60+G60</f>
        <v>0</v>
      </c>
      <c r="F60" s="231">
        <f t="shared" si="2"/>
        <v>0</v>
      </c>
      <c r="G60" s="231">
        <f>VLOOKUP($A$11,'[1]6.2. отчет'!$D:$AGO,333,0)</f>
        <v>0</v>
      </c>
      <c r="H60" s="231">
        <f>VLOOKUP($A$11,'[1]6.2. отчет'!$D:$AGO,341,0)</f>
        <v>0</v>
      </c>
      <c r="I60" s="231">
        <f>VLOOKUP($A$11,'[1]6.2. отчет'!$D:$AGO,366,0)</f>
        <v>0</v>
      </c>
      <c r="J60" s="231">
        <f>VLOOKUP($A$11,'[1]6.2. отчет'!$D:$AGO,371,0)</f>
        <v>0</v>
      </c>
      <c r="K60" s="231">
        <f>VLOOKUP($A$11,'[1]6.2. отчет'!$D:$AGO,396,0)</f>
        <v>0</v>
      </c>
    </row>
    <row r="61" spans="1:11" x14ac:dyDescent="0.25">
      <c r="A61" s="57" t="s">
        <v>144</v>
      </c>
      <c r="B61" s="235" t="s">
        <v>71</v>
      </c>
      <c r="C61" s="231">
        <f>VLOOKUP($A$11,'[1]6.2. отчет'!$D:$AGO,327,0)</f>
        <v>0</v>
      </c>
      <c r="D61" s="231">
        <v>0</v>
      </c>
      <c r="E61" s="231">
        <f>F61+G61</f>
        <v>0</v>
      </c>
      <c r="F61" s="231">
        <f t="shared" si="2"/>
        <v>0</v>
      </c>
      <c r="G61" s="231">
        <f>VLOOKUP($A$11,'[1]6.2. отчет'!$D:$AGO,334,0)</f>
        <v>0</v>
      </c>
      <c r="H61" s="231">
        <f>VLOOKUP($A$11,'[1]6.2. отчет'!$D:$AGO,338,0)</f>
        <v>0</v>
      </c>
      <c r="I61" s="231">
        <f>VLOOKUP($A$11,'[1]6.2. отчет'!$D:$AGO,363,0)</f>
        <v>0</v>
      </c>
      <c r="J61" s="231">
        <f>VLOOKUP($A$11,'[1]6.2. отчет'!$D:$AGO,368,0)</f>
        <v>0</v>
      </c>
      <c r="K61" s="231">
        <f>VLOOKUP($A$11,'[1]6.2. отчет'!$D:$AGO,393,0)</f>
        <v>0</v>
      </c>
    </row>
    <row r="62" spans="1:11" x14ac:dyDescent="0.25">
      <c r="A62" s="57" t="s">
        <v>145</v>
      </c>
      <c r="B62" s="235" t="s">
        <v>69</v>
      </c>
      <c r="C62" s="231">
        <f>VLOOKUP($A$11,'[1]6.2. отчет'!$D:$AGO,328,0)</f>
        <v>0</v>
      </c>
      <c r="D62" s="231">
        <v>0</v>
      </c>
      <c r="E62" s="231">
        <f>F62+G62</f>
        <v>0</v>
      </c>
      <c r="F62" s="231">
        <f t="shared" si="2"/>
        <v>0</v>
      </c>
      <c r="G62" s="231">
        <f>VLOOKUP($A$11,'[1]6.2. отчет'!$D:$AGO,335,0)</f>
        <v>0</v>
      </c>
      <c r="H62" s="231">
        <f>VLOOKUP($A$11,'[1]6.2. отчет'!$D:$AGO,339,0)</f>
        <v>0</v>
      </c>
      <c r="I62" s="231">
        <f>VLOOKUP($A$11,'[1]6.2. отчет'!$D:$AGO,364,0)</f>
        <v>0</v>
      </c>
      <c r="J62" s="231">
        <f>VLOOKUP($A$11,'[1]6.2. отчет'!$D:$AGO,369,0)</f>
        <v>0</v>
      </c>
      <c r="K62" s="231">
        <f>VLOOKUP($A$11,'[1]6.2. отчет'!$D:$AGO,394,0)</f>
        <v>0</v>
      </c>
    </row>
    <row r="63" spans="1:11" x14ac:dyDescent="0.25">
      <c r="A63" s="57" t="s">
        <v>146</v>
      </c>
      <c r="B63" s="235" t="s">
        <v>148</v>
      </c>
      <c r="C63" s="231">
        <f>VLOOKUP($A$11,'[1]6.2. отчет'!$D:$AGO,329,0)</f>
        <v>0</v>
      </c>
      <c r="D63" s="231">
        <v>0</v>
      </c>
      <c r="E63" s="231">
        <f>F63+G63</f>
        <v>0</v>
      </c>
      <c r="F63" s="231">
        <f t="shared" si="2"/>
        <v>0</v>
      </c>
      <c r="G63" s="231">
        <f>VLOOKUP($A$11,'[1]6.2. отчет'!$D:$AGO,336,0)</f>
        <v>0</v>
      </c>
      <c r="H63" s="231">
        <f>VLOOKUP($A$11,'[1]6.2. отчет'!$D:$AGO,340,0)</f>
        <v>0</v>
      </c>
      <c r="I63" s="231">
        <f>VLOOKUP($A$11,'[1]6.2. отчет'!$D:$AGO,365,0)</f>
        <v>0</v>
      </c>
      <c r="J63" s="231">
        <f>VLOOKUP($A$11,'[1]6.2. отчет'!$D:$AGO,370,0)</f>
        <v>0</v>
      </c>
      <c r="K63" s="231">
        <f>VLOOKUP($A$11,'[1]6.2. отчет'!$D:$AGO,395,0)</f>
        <v>0</v>
      </c>
    </row>
    <row r="64" spans="1:11" ht="18.75" x14ac:dyDescent="0.25">
      <c r="A64" s="57" t="s">
        <v>147</v>
      </c>
      <c r="B64" s="233" t="s">
        <v>47</v>
      </c>
      <c r="C64" s="231">
        <f>VLOOKUP($A$11,'[1]6.2. отчет'!$D:$AGO,330,0)</f>
        <v>0</v>
      </c>
      <c r="D64" s="231">
        <v>0</v>
      </c>
      <c r="E64" s="231">
        <f>F64+G64</f>
        <v>0</v>
      </c>
      <c r="F64" s="231">
        <f t="shared" si="2"/>
        <v>0</v>
      </c>
      <c r="G64" s="231">
        <f>VLOOKUP($A$11,'[1]6.2. отчет'!$D:$AGO,337,0)</f>
        <v>0</v>
      </c>
      <c r="H64" s="231">
        <f>VLOOKUP($A$11,'[1]6.2. отчет'!$D:$AGO,342,0)</f>
        <v>0</v>
      </c>
      <c r="I64" s="231">
        <f>VLOOKUP($A$11,'[1]6.2. отчет'!$D:$AGO,367,0)</f>
        <v>0</v>
      </c>
      <c r="J64" s="231">
        <f>VLOOKUP($A$11,'[1]6.2. отчет'!$D:$AGO,372,0)</f>
        <v>0</v>
      </c>
      <c r="K64" s="231">
        <f>VLOOKUP($A$11,'[1]6.2. отчет'!$D:$AGO,396,0)</f>
        <v>0</v>
      </c>
    </row>
    <row r="65" spans="1:11" x14ac:dyDescent="0.25">
      <c r="A65" s="54"/>
      <c r="B65" s="55"/>
      <c r="C65" s="92"/>
      <c r="D65" s="92"/>
      <c r="E65" s="92"/>
      <c r="F65" s="92"/>
      <c r="G65" s="92"/>
      <c r="H65" s="92"/>
      <c r="I65" s="55"/>
      <c r="J65" s="55"/>
      <c r="K65" s="55"/>
    </row>
    <row r="66" spans="1:11" ht="54" customHeight="1" x14ac:dyDescent="0.25">
      <c r="A66" s="47"/>
      <c r="B66" s="313"/>
      <c r="C66" s="313"/>
      <c r="D66" s="313"/>
      <c r="E66" s="313"/>
      <c r="F66" s="313"/>
      <c r="G66" s="313"/>
      <c r="H66" s="313"/>
      <c r="I66" s="313"/>
      <c r="J66" s="51"/>
      <c r="K66" s="51"/>
    </row>
    <row r="67" spans="1:11" x14ac:dyDescent="0.25">
      <c r="A67" s="47"/>
      <c r="B67" s="47"/>
      <c r="C67" s="47"/>
      <c r="D67" s="47"/>
      <c r="E67" s="47"/>
      <c r="F67" s="47"/>
    </row>
    <row r="68" spans="1:11" ht="50.25" customHeight="1" x14ac:dyDescent="0.25">
      <c r="A68" s="47"/>
      <c r="B68" s="326"/>
      <c r="C68" s="326"/>
      <c r="D68" s="326"/>
      <c r="E68" s="326"/>
      <c r="F68" s="326"/>
      <c r="G68" s="326"/>
      <c r="H68" s="326"/>
      <c r="I68" s="326"/>
      <c r="J68" s="52"/>
      <c r="K68" s="52"/>
    </row>
    <row r="69" spans="1:11" x14ac:dyDescent="0.25">
      <c r="A69" s="47"/>
      <c r="B69" s="47"/>
      <c r="C69" s="47"/>
      <c r="D69" s="47"/>
      <c r="E69" s="47"/>
      <c r="F69" s="47"/>
    </row>
    <row r="70" spans="1:11" ht="36.75" customHeight="1" x14ac:dyDescent="0.25">
      <c r="A70" s="47"/>
      <c r="B70" s="313"/>
      <c r="C70" s="313"/>
      <c r="D70" s="313"/>
      <c r="E70" s="313"/>
      <c r="F70" s="313"/>
      <c r="G70" s="313"/>
      <c r="H70" s="313"/>
      <c r="I70" s="313"/>
      <c r="J70" s="51"/>
      <c r="K70" s="51"/>
    </row>
    <row r="71" spans="1:11" x14ac:dyDescent="0.25">
      <c r="A71" s="47"/>
      <c r="B71" s="53"/>
      <c r="C71" s="53"/>
      <c r="D71" s="53"/>
      <c r="E71" s="53"/>
      <c r="F71" s="53"/>
    </row>
    <row r="72" spans="1:11" ht="51" customHeight="1" x14ac:dyDescent="0.25">
      <c r="A72" s="47"/>
      <c r="B72" s="313"/>
      <c r="C72" s="313"/>
      <c r="D72" s="313"/>
      <c r="E72" s="313"/>
      <c r="F72" s="313"/>
      <c r="G72" s="313"/>
      <c r="H72" s="313"/>
      <c r="I72" s="313"/>
      <c r="J72" s="51"/>
      <c r="K72" s="51"/>
    </row>
    <row r="73" spans="1:11" ht="32.25" customHeight="1" x14ac:dyDescent="0.25">
      <c r="A73" s="47"/>
      <c r="B73" s="326"/>
      <c r="C73" s="326"/>
      <c r="D73" s="326"/>
      <c r="E73" s="326"/>
      <c r="F73" s="326"/>
      <c r="G73" s="326"/>
      <c r="H73" s="326"/>
      <c r="I73" s="326"/>
      <c r="J73" s="52"/>
      <c r="K73" s="52"/>
    </row>
    <row r="74" spans="1:11" ht="51.75" customHeight="1" x14ac:dyDescent="0.25">
      <c r="A74" s="47"/>
      <c r="B74" s="313"/>
      <c r="C74" s="313"/>
      <c r="D74" s="313"/>
      <c r="E74" s="313"/>
      <c r="F74" s="313"/>
      <c r="G74" s="313"/>
      <c r="H74" s="313"/>
      <c r="I74" s="313"/>
      <c r="J74" s="51"/>
      <c r="K74" s="51"/>
    </row>
    <row r="75" spans="1:11" ht="21.75" customHeight="1" x14ac:dyDescent="0.25">
      <c r="A75" s="47"/>
      <c r="B75" s="314"/>
      <c r="C75" s="314"/>
      <c r="D75" s="314"/>
      <c r="E75" s="314"/>
      <c r="F75" s="314"/>
      <c r="G75" s="314"/>
      <c r="H75" s="314"/>
      <c r="I75" s="314"/>
      <c r="J75" s="50"/>
      <c r="K75" s="50"/>
    </row>
    <row r="76" spans="1:11" ht="23.25" customHeight="1" x14ac:dyDescent="0.25">
      <c r="A76" s="47"/>
      <c r="B76" s="49"/>
      <c r="C76" s="49"/>
      <c r="D76" s="49"/>
      <c r="E76" s="49"/>
      <c r="F76" s="49"/>
    </row>
    <row r="77" spans="1:11" ht="18.75" customHeight="1" x14ac:dyDescent="0.25">
      <c r="A77" s="47"/>
      <c r="B77" s="325"/>
      <c r="C77" s="325"/>
      <c r="D77" s="325"/>
      <c r="E77" s="325"/>
      <c r="F77" s="325"/>
      <c r="G77" s="325"/>
      <c r="H77" s="325"/>
      <c r="I77" s="325"/>
      <c r="J77" s="48"/>
      <c r="K77" s="48"/>
    </row>
    <row r="78" spans="1:11" x14ac:dyDescent="0.25">
      <c r="A78" s="47"/>
      <c r="B78" s="47"/>
      <c r="C78" s="47"/>
      <c r="D78" s="47"/>
      <c r="E78" s="47"/>
      <c r="F78" s="47"/>
    </row>
    <row r="79" spans="1:11" x14ac:dyDescent="0.25">
      <c r="A79" s="47"/>
      <c r="B79" s="47"/>
      <c r="C79" s="47"/>
      <c r="D79" s="47"/>
      <c r="E79" s="47"/>
      <c r="F79" s="47"/>
    </row>
    <row r="80" spans="1:11" x14ac:dyDescent="0.25">
      <c r="G80" s="46"/>
      <c r="H80" s="46"/>
      <c r="I80" s="46"/>
      <c r="J80" s="46"/>
      <c r="K80" s="46"/>
    </row>
    <row r="81" spans="7:11" x14ac:dyDescent="0.25">
      <c r="G81" s="46"/>
      <c r="H81" s="46"/>
      <c r="I81" s="46"/>
      <c r="J81" s="46"/>
      <c r="K81" s="46"/>
    </row>
    <row r="82" spans="7:11" x14ac:dyDescent="0.25">
      <c r="G82" s="46"/>
      <c r="H82" s="46"/>
      <c r="I82" s="46"/>
      <c r="J82" s="46"/>
      <c r="K82" s="46"/>
    </row>
    <row r="83" spans="7:11" x14ac:dyDescent="0.25">
      <c r="G83" s="46"/>
      <c r="H83" s="46"/>
      <c r="I83" s="46"/>
      <c r="J83" s="46"/>
      <c r="K83" s="46"/>
    </row>
    <row r="84" spans="7:11" x14ac:dyDescent="0.25">
      <c r="G84" s="46"/>
      <c r="H84" s="46"/>
      <c r="I84" s="46"/>
      <c r="J84" s="46"/>
      <c r="K84" s="46"/>
    </row>
    <row r="85" spans="7:11" x14ac:dyDescent="0.25">
      <c r="G85" s="46"/>
      <c r="H85" s="46"/>
      <c r="I85" s="46"/>
      <c r="J85" s="46"/>
      <c r="K85" s="46"/>
    </row>
    <row r="86" spans="7:11" x14ac:dyDescent="0.25">
      <c r="G86" s="46"/>
      <c r="H86" s="46"/>
      <c r="I86" s="46"/>
      <c r="J86" s="46"/>
      <c r="K86" s="46"/>
    </row>
    <row r="87" spans="7:11" x14ac:dyDescent="0.25">
      <c r="G87" s="46"/>
      <c r="H87" s="46"/>
      <c r="I87" s="46"/>
      <c r="J87" s="46"/>
      <c r="K87" s="46"/>
    </row>
    <row r="88" spans="7:11" x14ac:dyDescent="0.25">
      <c r="G88" s="46"/>
      <c r="H88" s="46"/>
      <c r="I88" s="46"/>
      <c r="J88" s="46"/>
      <c r="K88" s="46"/>
    </row>
    <row r="89" spans="7:11" x14ac:dyDescent="0.25">
      <c r="G89" s="46"/>
      <c r="H89" s="46"/>
      <c r="I89" s="46"/>
      <c r="J89" s="46"/>
      <c r="K89" s="46"/>
    </row>
    <row r="90" spans="7:11" x14ac:dyDescent="0.25">
      <c r="G90" s="46"/>
      <c r="H90" s="46"/>
      <c r="I90" s="46"/>
      <c r="J90" s="46"/>
      <c r="K90" s="46"/>
    </row>
    <row r="91" spans="7:11" x14ac:dyDescent="0.25">
      <c r="G91" s="46"/>
      <c r="H91" s="46"/>
      <c r="I91" s="46"/>
      <c r="J91" s="46"/>
      <c r="K91" s="46"/>
    </row>
    <row r="92" spans="7:11" x14ac:dyDescent="0.25">
      <c r="G92" s="46"/>
      <c r="H92" s="46"/>
      <c r="I92" s="46"/>
      <c r="J92" s="46"/>
      <c r="K92" s="46"/>
    </row>
  </sheetData>
  <mergeCells count="26">
    <mergeCell ref="B77:I77"/>
    <mergeCell ref="B66:I66"/>
    <mergeCell ref="B68:I68"/>
    <mergeCell ref="B70:I70"/>
    <mergeCell ref="B72:I72"/>
    <mergeCell ref="B73:I73"/>
    <mergeCell ref="A14:K14"/>
    <mergeCell ref="B74:I74"/>
    <mergeCell ref="B75:I75"/>
    <mergeCell ref="E20:F21"/>
    <mergeCell ref="A18:K18"/>
    <mergeCell ref="A16:K16"/>
    <mergeCell ref="J21:K21"/>
    <mergeCell ref="C20:D21"/>
    <mergeCell ref="G20:G22"/>
    <mergeCell ref="A15:K15"/>
    <mergeCell ref="A20:A22"/>
    <mergeCell ref="H20:K20"/>
    <mergeCell ref="B20:B22"/>
    <mergeCell ref="H21:I21"/>
    <mergeCell ref="A4:K4"/>
    <mergeCell ref="A12:K12"/>
    <mergeCell ref="A9:K9"/>
    <mergeCell ref="A11:K11"/>
    <mergeCell ref="A8:K8"/>
    <mergeCell ref="A6:K6"/>
  </mergeCells>
  <phoneticPr fontId="46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6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V29"/>
  <sheetViews>
    <sheetView view="pageBreakPreview" topLeftCell="O13" zoomScale="70" zoomScaleNormal="100" zoomScaleSheetLayoutView="70" workbookViewId="0">
      <selection activeCell="Q38" sqref="Q38"/>
    </sheetView>
  </sheetViews>
  <sheetFormatPr defaultRowHeight="15" x14ac:dyDescent="0.25"/>
  <cols>
    <col min="1" max="1" width="6.140625" style="137" customWidth="1"/>
    <col min="2" max="2" width="23.140625" style="137" customWidth="1"/>
    <col min="3" max="3" width="22.5703125" style="137" customWidth="1"/>
    <col min="4" max="4" width="15.140625" style="137" customWidth="1"/>
    <col min="5" max="12" width="7.7109375" style="137" customWidth="1"/>
    <col min="13" max="13" width="15.85546875" style="137" customWidth="1"/>
    <col min="14" max="14" width="28.28515625" style="137" customWidth="1"/>
    <col min="15" max="15" width="19.140625" style="137" customWidth="1"/>
    <col min="16" max="16" width="16.28515625" style="137" customWidth="1"/>
    <col min="17" max="17" width="13.42578125" style="137" customWidth="1"/>
    <col min="18" max="18" width="17" style="137" customWidth="1"/>
    <col min="19" max="20" width="9.7109375" style="137" customWidth="1"/>
    <col min="21" max="21" width="11.42578125" style="137" customWidth="1"/>
    <col min="22" max="22" width="12.7109375" style="137" customWidth="1"/>
    <col min="23" max="23" width="16" style="137" customWidth="1"/>
    <col min="24" max="24" width="12.28515625" style="137" customWidth="1"/>
    <col min="25" max="25" width="14.140625" style="137" customWidth="1"/>
    <col min="26" max="26" width="7.7109375" style="137" customWidth="1"/>
    <col min="27" max="27" width="14.5703125" style="137" customWidth="1"/>
    <col min="28" max="28" width="13.5703125" style="137" customWidth="1"/>
    <col min="29" max="29" width="13.42578125" style="137" customWidth="1"/>
    <col min="30" max="30" width="14.140625" style="137" customWidth="1"/>
    <col min="31" max="31" width="19.5703125" style="137" customWidth="1"/>
    <col min="32" max="32" width="13.42578125" style="137" customWidth="1"/>
    <col min="33" max="33" width="14.28515625" style="137" customWidth="1"/>
    <col min="34" max="34" width="21.140625" style="137" customWidth="1"/>
    <col min="35" max="35" width="12.42578125" style="137" customWidth="1"/>
    <col min="36" max="36" width="14.5703125" style="137" customWidth="1"/>
    <col min="37" max="37" width="12" style="137" customWidth="1"/>
    <col min="38" max="38" width="12.28515625" style="137" customWidth="1"/>
    <col min="39" max="39" width="18.42578125" style="137" customWidth="1"/>
    <col min="40" max="40" width="13" style="137" customWidth="1"/>
    <col min="41" max="41" width="16.85546875" style="137" customWidth="1"/>
    <col min="42" max="43" width="14.42578125" style="137" customWidth="1"/>
    <col min="44" max="47" width="17.140625" style="137" customWidth="1"/>
    <col min="48" max="48" width="25.85546875" style="137" customWidth="1"/>
    <col min="49" max="16384" width="9.140625" style="137"/>
  </cols>
  <sheetData>
    <row r="5" spans="1:41" ht="18.75" customHeight="1" x14ac:dyDescent="0.25">
      <c r="A5" s="348" t="str">
        <f>'1. паспорт местоположение'!$A$5</f>
        <v>Год раскрытия информации: 2019 год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</row>
    <row r="7" spans="1:41" ht="18.75" x14ac:dyDescent="0.25">
      <c r="A7" s="349" t="s">
        <v>5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49"/>
      <c r="AC7" s="349"/>
      <c r="AD7" s="349"/>
      <c r="AE7" s="349"/>
      <c r="AF7" s="349"/>
      <c r="AG7" s="349"/>
      <c r="AH7" s="349"/>
      <c r="AI7" s="349"/>
      <c r="AJ7" s="349"/>
      <c r="AK7" s="349"/>
      <c r="AL7" s="349"/>
      <c r="AM7" s="349"/>
      <c r="AN7" s="349"/>
      <c r="AO7" s="349"/>
    </row>
    <row r="8" spans="1:41" ht="18.75" x14ac:dyDescent="0.25">
      <c r="A8" s="349"/>
      <c r="B8" s="349"/>
      <c r="C8" s="349"/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  <c r="AJ8" s="349"/>
      <c r="AK8" s="349"/>
      <c r="AL8" s="349"/>
      <c r="AM8" s="349"/>
      <c r="AN8" s="349"/>
      <c r="AO8" s="349"/>
    </row>
    <row r="9" spans="1:41" ht="15.75" x14ac:dyDescent="0.25">
      <c r="A9" s="333" t="s">
        <v>294</v>
      </c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3"/>
      <c r="Z9" s="333"/>
      <c r="AA9" s="333"/>
      <c r="AB9" s="333"/>
      <c r="AC9" s="333"/>
      <c r="AD9" s="333"/>
      <c r="AE9" s="333"/>
      <c r="AF9" s="333"/>
      <c r="AG9" s="333"/>
      <c r="AH9" s="333"/>
      <c r="AI9" s="333"/>
      <c r="AJ9" s="333"/>
      <c r="AK9" s="333"/>
      <c r="AL9" s="333"/>
      <c r="AM9" s="333"/>
      <c r="AN9" s="333"/>
      <c r="AO9" s="333"/>
    </row>
    <row r="10" spans="1:41" ht="15.75" x14ac:dyDescent="0.25">
      <c r="A10" s="347" t="s">
        <v>4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</row>
    <row r="11" spans="1:41" ht="18.75" x14ac:dyDescent="0.25">
      <c r="A11" s="349"/>
      <c r="B11" s="349"/>
      <c r="C11" s="349"/>
      <c r="D11" s="349"/>
      <c r="E11" s="349"/>
      <c r="F11" s="349"/>
      <c r="G11" s="349"/>
      <c r="H11" s="349"/>
      <c r="I11" s="349"/>
      <c r="J11" s="349"/>
      <c r="K11" s="349"/>
      <c r="L11" s="349"/>
      <c r="M11" s="349"/>
      <c r="N11" s="349"/>
      <c r="O11" s="349"/>
      <c r="P11" s="349"/>
      <c r="Q11" s="349"/>
      <c r="R11" s="349"/>
      <c r="S11" s="349"/>
      <c r="T11" s="349"/>
      <c r="U11" s="349"/>
      <c r="V11" s="349"/>
      <c r="W11" s="349"/>
      <c r="X11" s="349"/>
      <c r="Y11" s="349"/>
      <c r="Z11" s="349"/>
      <c r="AA11" s="349"/>
      <c r="AB11" s="349"/>
      <c r="AC11" s="349"/>
      <c r="AD11" s="349"/>
      <c r="AE11" s="349"/>
      <c r="AF11" s="349"/>
      <c r="AG11" s="349"/>
      <c r="AH11" s="349"/>
      <c r="AI11" s="349"/>
      <c r="AJ11" s="349"/>
      <c r="AK11" s="349"/>
      <c r="AL11" s="349"/>
      <c r="AM11" s="349"/>
      <c r="AN11" s="349"/>
      <c r="AO11" s="349"/>
    </row>
    <row r="12" spans="1:41" ht="15.75" x14ac:dyDescent="0.25">
      <c r="A12" s="333" t="str">
        <f>'1. паспорт местоположение'!A12:C12</f>
        <v>I_Che148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3"/>
      <c r="S12" s="333"/>
      <c r="T12" s="333"/>
      <c r="U12" s="333"/>
      <c r="V12" s="333"/>
      <c r="W12" s="333"/>
      <c r="X12" s="333"/>
      <c r="Y12" s="333"/>
      <c r="Z12" s="333"/>
      <c r="AA12" s="333"/>
      <c r="AB12" s="333"/>
      <c r="AC12" s="333"/>
      <c r="AD12" s="333"/>
      <c r="AE12" s="333"/>
      <c r="AF12" s="333"/>
      <c r="AG12" s="333"/>
      <c r="AH12" s="333"/>
      <c r="AI12" s="333"/>
      <c r="AJ12" s="333"/>
      <c r="AK12" s="333"/>
      <c r="AL12" s="333"/>
      <c r="AM12" s="333"/>
      <c r="AN12" s="333"/>
      <c r="AO12" s="333"/>
    </row>
    <row r="13" spans="1:41" ht="15.75" x14ac:dyDescent="0.25">
      <c r="A13" s="347" t="s">
        <v>3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347"/>
      <c r="N13" s="347"/>
      <c r="O13" s="347"/>
      <c r="P13" s="347"/>
      <c r="Q13" s="347"/>
      <c r="R13" s="347"/>
      <c r="S13" s="347"/>
      <c r="T13" s="347"/>
      <c r="U13" s="347"/>
      <c r="V13" s="347"/>
      <c r="W13" s="347"/>
      <c r="X13" s="347"/>
      <c r="Y13" s="347"/>
      <c r="Z13" s="347"/>
      <c r="AA13" s="347"/>
      <c r="AB13" s="347"/>
      <c r="AC13" s="347"/>
      <c r="AD13" s="347"/>
      <c r="AE13" s="347"/>
      <c r="AF13" s="347"/>
      <c r="AG13" s="347"/>
      <c r="AH13" s="347"/>
      <c r="AI13" s="347"/>
      <c r="AJ13" s="347"/>
      <c r="AK13" s="347"/>
      <c r="AL13" s="347"/>
      <c r="AM13" s="347"/>
      <c r="AN13" s="347"/>
      <c r="AO13" s="347"/>
    </row>
    <row r="14" spans="1:41" ht="18.75" x14ac:dyDescent="0.25">
      <c r="A14" s="350"/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0"/>
      <c r="AL14" s="350"/>
      <c r="AM14" s="350"/>
      <c r="AN14" s="350"/>
      <c r="AO14" s="350"/>
    </row>
    <row r="15" spans="1:41" ht="15.75" x14ac:dyDescent="0.25">
      <c r="A15" s="333" t="str">
        <f>'1. паспорт местоположение'!A15:C15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333"/>
      <c r="C15" s="333"/>
      <c r="D15" s="333"/>
      <c r="E15" s="333"/>
      <c r="F15" s="333"/>
      <c r="G15" s="333"/>
      <c r="H15" s="333"/>
      <c r="I15" s="333"/>
      <c r="J15" s="333"/>
      <c r="K15" s="333"/>
      <c r="L15" s="333"/>
      <c r="M15" s="333"/>
      <c r="N15" s="333"/>
      <c r="O15" s="333"/>
      <c r="P15" s="333"/>
      <c r="Q15" s="333"/>
      <c r="R15" s="333"/>
      <c r="S15" s="333"/>
      <c r="T15" s="333"/>
      <c r="U15" s="333"/>
      <c r="V15" s="333"/>
      <c r="W15" s="333"/>
      <c r="X15" s="333"/>
      <c r="Y15" s="333"/>
      <c r="Z15" s="333"/>
      <c r="AA15" s="333"/>
      <c r="AB15" s="333"/>
      <c r="AC15" s="333"/>
      <c r="AD15" s="333"/>
      <c r="AE15" s="333"/>
      <c r="AF15" s="333"/>
      <c r="AG15" s="333"/>
      <c r="AH15" s="333"/>
      <c r="AI15" s="333"/>
      <c r="AJ15" s="333"/>
      <c r="AK15" s="333"/>
      <c r="AL15" s="333"/>
      <c r="AM15" s="333"/>
      <c r="AN15" s="333"/>
      <c r="AO15" s="333"/>
    </row>
    <row r="16" spans="1:41" ht="15.75" x14ac:dyDescent="0.25">
      <c r="A16" s="347" t="s">
        <v>2</v>
      </c>
      <c r="B16" s="347"/>
      <c r="C16" s="347"/>
      <c r="D16" s="347"/>
      <c r="E16" s="347"/>
      <c r="F16" s="347"/>
      <c r="G16" s="347"/>
      <c r="H16" s="347"/>
      <c r="I16" s="347"/>
      <c r="J16" s="347"/>
      <c r="K16" s="347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47"/>
      <c r="W16" s="347"/>
      <c r="X16" s="347"/>
      <c r="Y16" s="347"/>
      <c r="Z16" s="347"/>
      <c r="AA16" s="347"/>
      <c r="AB16" s="347"/>
      <c r="AC16" s="347"/>
      <c r="AD16" s="347"/>
      <c r="AE16" s="347"/>
      <c r="AF16" s="347"/>
      <c r="AG16" s="347"/>
      <c r="AH16" s="347"/>
      <c r="AI16" s="347"/>
      <c r="AJ16" s="347"/>
      <c r="AK16" s="347"/>
      <c r="AL16" s="347"/>
      <c r="AM16" s="347"/>
      <c r="AN16" s="347"/>
      <c r="AO16" s="347"/>
    </row>
    <row r="17" spans="1:48" x14ac:dyDescent="0.25">
      <c r="A17" s="334"/>
      <c r="B17" s="334"/>
      <c r="C17" s="334"/>
      <c r="D17" s="334"/>
      <c r="E17" s="334"/>
      <c r="F17" s="334"/>
      <c r="G17" s="334"/>
      <c r="H17" s="334"/>
      <c r="I17" s="334"/>
      <c r="J17" s="334"/>
      <c r="K17" s="334"/>
      <c r="L17" s="334"/>
      <c r="M17" s="334"/>
      <c r="N17" s="334"/>
      <c r="O17" s="334"/>
      <c r="P17" s="334"/>
      <c r="Q17" s="334"/>
      <c r="R17" s="334"/>
      <c r="S17" s="334"/>
      <c r="T17" s="334"/>
      <c r="U17" s="334"/>
      <c r="V17" s="334"/>
      <c r="W17" s="334"/>
      <c r="X17" s="334"/>
      <c r="Y17" s="334"/>
      <c r="Z17" s="334"/>
      <c r="AA17" s="334"/>
      <c r="AB17" s="334"/>
      <c r="AC17" s="334"/>
      <c r="AD17" s="334"/>
      <c r="AE17" s="334"/>
      <c r="AF17" s="334"/>
      <c r="AG17" s="334"/>
      <c r="AH17" s="334"/>
      <c r="AI17" s="334"/>
      <c r="AJ17" s="334"/>
      <c r="AK17" s="334"/>
      <c r="AL17" s="334"/>
      <c r="AM17" s="334"/>
      <c r="AN17" s="334"/>
      <c r="AO17" s="334"/>
    </row>
    <row r="18" spans="1:48" ht="14.25" customHeight="1" x14ac:dyDescent="0.25">
      <c r="A18" s="334"/>
      <c r="B18" s="334"/>
      <c r="C18" s="334"/>
      <c r="D18" s="334"/>
      <c r="E18" s="334"/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4"/>
      <c r="V18" s="334"/>
      <c r="W18" s="334"/>
      <c r="X18" s="334"/>
      <c r="Y18" s="334"/>
      <c r="Z18" s="334"/>
      <c r="AA18" s="334"/>
      <c r="AB18" s="334"/>
      <c r="AC18" s="334"/>
      <c r="AD18" s="334"/>
      <c r="AE18" s="334"/>
      <c r="AF18" s="334"/>
      <c r="AG18" s="334"/>
      <c r="AH18" s="334"/>
      <c r="AI18" s="334"/>
      <c r="AJ18" s="334"/>
      <c r="AK18" s="334"/>
      <c r="AL18" s="334"/>
      <c r="AM18" s="334"/>
      <c r="AN18" s="334"/>
      <c r="AO18" s="334"/>
    </row>
    <row r="19" spans="1:48" x14ac:dyDescent="0.25">
      <c r="A19" s="334"/>
      <c r="B19" s="334"/>
      <c r="C19" s="334"/>
      <c r="D19" s="334"/>
      <c r="E19" s="334"/>
      <c r="F19" s="334"/>
      <c r="G19" s="334"/>
      <c r="H19" s="334"/>
      <c r="I19" s="334"/>
      <c r="J19" s="334"/>
      <c r="K19" s="334"/>
      <c r="L19" s="334"/>
      <c r="M19" s="334"/>
      <c r="N19" s="334"/>
      <c r="O19" s="334"/>
      <c r="P19" s="334"/>
      <c r="Q19" s="334"/>
      <c r="R19" s="334"/>
      <c r="S19" s="334"/>
      <c r="T19" s="334"/>
      <c r="U19" s="334"/>
      <c r="V19" s="334"/>
      <c r="W19" s="334"/>
      <c r="X19" s="334"/>
      <c r="Y19" s="334"/>
      <c r="Z19" s="334"/>
      <c r="AA19" s="334"/>
      <c r="AB19" s="334"/>
      <c r="AC19" s="334"/>
      <c r="AD19" s="334"/>
      <c r="AE19" s="334"/>
      <c r="AF19" s="334"/>
      <c r="AG19" s="334"/>
      <c r="AH19" s="334"/>
      <c r="AI19" s="334"/>
      <c r="AJ19" s="334"/>
      <c r="AK19" s="334"/>
      <c r="AL19" s="334"/>
      <c r="AM19" s="334"/>
      <c r="AN19" s="334"/>
      <c r="AO19" s="334"/>
    </row>
    <row r="20" spans="1:48" x14ac:dyDescent="0.25">
      <c r="A20" s="334"/>
      <c r="B20" s="334"/>
      <c r="C20" s="334"/>
      <c r="D20" s="334"/>
      <c r="E20" s="334"/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334"/>
      <c r="AG20" s="334"/>
      <c r="AH20" s="334"/>
      <c r="AI20" s="334"/>
      <c r="AJ20" s="334"/>
      <c r="AK20" s="334"/>
      <c r="AL20" s="334"/>
      <c r="AM20" s="334"/>
      <c r="AN20" s="334"/>
      <c r="AO20" s="334"/>
    </row>
    <row r="21" spans="1:48" x14ac:dyDescent="0.25">
      <c r="A21" s="339" t="s">
        <v>395</v>
      </c>
      <c r="B21" s="339"/>
      <c r="C21" s="339"/>
      <c r="D21" s="339"/>
      <c r="E21" s="339"/>
      <c r="F21" s="339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S21" s="339"/>
      <c r="T21" s="339"/>
      <c r="U21" s="339"/>
      <c r="V21" s="339"/>
      <c r="W21" s="339"/>
      <c r="X21" s="339"/>
      <c r="Y21" s="339"/>
      <c r="Z21" s="339"/>
      <c r="AA21" s="339"/>
      <c r="AB21" s="339"/>
      <c r="AC21" s="339"/>
      <c r="AD21" s="339"/>
      <c r="AE21" s="339"/>
      <c r="AF21" s="339"/>
      <c r="AG21" s="339"/>
      <c r="AH21" s="339"/>
      <c r="AI21" s="339"/>
      <c r="AJ21" s="339"/>
      <c r="AK21" s="339"/>
      <c r="AL21" s="339"/>
      <c r="AM21" s="339"/>
      <c r="AN21" s="339"/>
      <c r="AO21" s="339"/>
    </row>
    <row r="22" spans="1:48" s="199" customFormat="1" ht="58.5" customHeight="1" x14ac:dyDescent="0.25">
      <c r="A22" s="340" t="s">
        <v>396</v>
      </c>
      <c r="B22" s="343" t="s">
        <v>397</v>
      </c>
      <c r="C22" s="340" t="s">
        <v>398</v>
      </c>
      <c r="D22" s="340" t="s">
        <v>399</v>
      </c>
      <c r="E22" s="355" t="s">
        <v>400</v>
      </c>
      <c r="F22" s="356"/>
      <c r="G22" s="356"/>
      <c r="H22" s="356"/>
      <c r="I22" s="356"/>
      <c r="J22" s="356"/>
      <c r="K22" s="356"/>
      <c r="L22" s="357"/>
      <c r="M22" s="340" t="s">
        <v>401</v>
      </c>
      <c r="N22" s="340" t="s">
        <v>402</v>
      </c>
      <c r="O22" s="340" t="s">
        <v>403</v>
      </c>
      <c r="P22" s="327" t="s">
        <v>404</v>
      </c>
      <c r="Q22" s="327" t="s">
        <v>405</v>
      </c>
      <c r="R22" s="327" t="s">
        <v>406</v>
      </c>
      <c r="S22" s="327" t="s">
        <v>407</v>
      </c>
      <c r="T22" s="327"/>
      <c r="U22" s="346" t="s">
        <v>408</v>
      </c>
      <c r="V22" s="346" t="s">
        <v>409</v>
      </c>
      <c r="W22" s="327" t="s">
        <v>410</v>
      </c>
      <c r="X22" s="327" t="s">
        <v>411</v>
      </c>
      <c r="Y22" s="327" t="s">
        <v>412</v>
      </c>
      <c r="Z22" s="354" t="s">
        <v>413</v>
      </c>
      <c r="AA22" s="327" t="s">
        <v>414</v>
      </c>
      <c r="AB22" s="327" t="s">
        <v>415</v>
      </c>
      <c r="AC22" s="327" t="s">
        <v>416</v>
      </c>
      <c r="AD22" s="327" t="s">
        <v>417</v>
      </c>
      <c r="AE22" s="327" t="s">
        <v>418</v>
      </c>
      <c r="AF22" s="327" t="s">
        <v>419</v>
      </c>
      <c r="AG22" s="327"/>
      <c r="AH22" s="327"/>
      <c r="AI22" s="327"/>
      <c r="AJ22" s="327"/>
      <c r="AK22" s="327"/>
      <c r="AL22" s="327" t="s">
        <v>498</v>
      </c>
      <c r="AM22" s="327"/>
      <c r="AN22" s="327"/>
      <c r="AO22" s="327"/>
      <c r="AP22" s="327" t="s">
        <v>420</v>
      </c>
      <c r="AQ22" s="327"/>
      <c r="AR22" s="327" t="s">
        <v>421</v>
      </c>
      <c r="AS22" s="327" t="s">
        <v>422</v>
      </c>
      <c r="AT22" s="327" t="s">
        <v>423</v>
      </c>
      <c r="AU22" s="327" t="s">
        <v>424</v>
      </c>
      <c r="AV22" s="360" t="s">
        <v>425</v>
      </c>
    </row>
    <row r="23" spans="1:48" s="199" customFormat="1" ht="64.5" customHeight="1" x14ac:dyDescent="0.25">
      <c r="A23" s="341"/>
      <c r="B23" s="344"/>
      <c r="C23" s="341"/>
      <c r="D23" s="341"/>
      <c r="E23" s="358" t="s">
        <v>426</v>
      </c>
      <c r="F23" s="335" t="s">
        <v>51</v>
      </c>
      <c r="G23" s="335" t="s">
        <v>50</v>
      </c>
      <c r="H23" s="335" t="s">
        <v>49</v>
      </c>
      <c r="I23" s="337" t="s">
        <v>427</v>
      </c>
      <c r="J23" s="337" t="s">
        <v>428</v>
      </c>
      <c r="K23" s="337" t="s">
        <v>429</v>
      </c>
      <c r="L23" s="335" t="s">
        <v>388</v>
      </c>
      <c r="M23" s="341"/>
      <c r="N23" s="341"/>
      <c r="O23" s="341"/>
      <c r="P23" s="327"/>
      <c r="Q23" s="327"/>
      <c r="R23" s="327"/>
      <c r="S23" s="328" t="s">
        <v>0</v>
      </c>
      <c r="T23" s="328" t="s">
        <v>430</v>
      </c>
      <c r="U23" s="346"/>
      <c r="V23" s="346"/>
      <c r="W23" s="327"/>
      <c r="X23" s="327"/>
      <c r="Y23" s="327"/>
      <c r="Z23" s="327"/>
      <c r="AA23" s="327"/>
      <c r="AB23" s="327"/>
      <c r="AC23" s="327"/>
      <c r="AD23" s="327"/>
      <c r="AE23" s="327"/>
      <c r="AF23" s="327" t="s">
        <v>431</v>
      </c>
      <c r="AG23" s="327"/>
      <c r="AH23" s="327" t="s">
        <v>499</v>
      </c>
      <c r="AI23" s="327"/>
      <c r="AJ23" s="340" t="s">
        <v>500</v>
      </c>
      <c r="AK23" s="340" t="s">
        <v>432</v>
      </c>
      <c r="AL23" s="340" t="s">
        <v>501</v>
      </c>
      <c r="AM23" s="340" t="s">
        <v>502</v>
      </c>
      <c r="AN23" s="340" t="s">
        <v>503</v>
      </c>
      <c r="AO23" s="340" t="s">
        <v>504</v>
      </c>
      <c r="AP23" s="340" t="s">
        <v>433</v>
      </c>
      <c r="AQ23" s="362" t="s">
        <v>430</v>
      </c>
      <c r="AR23" s="327"/>
      <c r="AS23" s="327"/>
      <c r="AT23" s="327"/>
      <c r="AU23" s="327"/>
      <c r="AV23" s="361"/>
    </row>
    <row r="24" spans="1:48" s="199" customFormat="1" ht="96.75" customHeight="1" x14ac:dyDescent="0.25">
      <c r="A24" s="342"/>
      <c r="B24" s="345"/>
      <c r="C24" s="342"/>
      <c r="D24" s="342"/>
      <c r="E24" s="359"/>
      <c r="F24" s="336"/>
      <c r="G24" s="336"/>
      <c r="H24" s="336"/>
      <c r="I24" s="338"/>
      <c r="J24" s="338"/>
      <c r="K24" s="338"/>
      <c r="L24" s="336"/>
      <c r="M24" s="342"/>
      <c r="N24" s="342"/>
      <c r="O24" s="342"/>
      <c r="P24" s="327"/>
      <c r="Q24" s="327"/>
      <c r="R24" s="327"/>
      <c r="S24" s="329"/>
      <c r="T24" s="329"/>
      <c r="U24" s="346"/>
      <c r="V24" s="346"/>
      <c r="W24" s="327"/>
      <c r="X24" s="327"/>
      <c r="Y24" s="327"/>
      <c r="Z24" s="327"/>
      <c r="AA24" s="327"/>
      <c r="AB24" s="327"/>
      <c r="AC24" s="327"/>
      <c r="AD24" s="327"/>
      <c r="AE24" s="327"/>
      <c r="AF24" s="201" t="s">
        <v>434</v>
      </c>
      <c r="AG24" s="201" t="s">
        <v>435</v>
      </c>
      <c r="AH24" s="202" t="s">
        <v>0</v>
      </c>
      <c r="AI24" s="202" t="s">
        <v>430</v>
      </c>
      <c r="AJ24" s="342"/>
      <c r="AK24" s="342"/>
      <c r="AL24" s="342"/>
      <c r="AM24" s="342"/>
      <c r="AN24" s="342"/>
      <c r="AO24" s="342"/>
      <c r="AP24" s="342"/>
      <c r="AQ24" s="363"/>
      <c r="AR24" s="327"/>
      <c r="AS24" s="327"/>
      <c r="AT24" s="327"/>
      <c r="AU24" s="327"/>
      <c r="AV24" s="361"/>
    </row>
    <row r="25" spans="1:48" s="139" customFormat="1" ht="21.75" customHeight="1" x14ac:dyDescent="0.2">
      <c r="A25" s="138">
        <v>1</v>
      </c>
      <c r="B25" s="138">
        <v>2</v>
      </c>
      <c r="C25" s="138">
        <v>4</v>
      </c>
      <c r="D25" s="138">
        <v>5</v>
      </c>
      <c r="E25" s="138">
        <v>6</v>
      </c>
      <c r="F25" s="138">
        <f>E25+1</f>
        <v>7</v>
      </c>
      <c r="G25" s="138">
        <f t="shared" ref="G25:AO25" si="0">F25+1</f>
        <v>8</v>
      </c>
      <c r="H25" s="138">
        <f t="shared" si="0"/>
        <v>9</v>
      </c>
      <c r="I25" s="138">
        <f t="shared" si="0"/>
        <v>10</v>
      </c>
      <c r="J25" s="138">
        <f t="shared" si="0"/>
        <v>11</v>
      </c>
      <c r="K25" s="138">
        <f t="shared" si="0"/>
        <v>12</v>
      </c>
      <c r="L25" s="138">
        <f t="shared" si="0"/>
        <v>13</v>
      </c>
      <c r="M25" s="138">
        <f t="shared" si="0"/>
        <v>14</v>
      </c>
      <c r="N25" s="138">
        <f t="shared" si="0"/>
        <v>15</v>
      </c>
      <c r="O25" s="138">
        <f t="shared" si="0"/>
        <v>16</v>
      </c>
      <c r="P25" s="138">
        <f t="shared" si="0"/>
        <v>17</v>
      </c>
      <c r="Q25" s="138">
        <f t="shared" si="0"/>
        <v>18</v>
      </c>
      <c r="R25" s="138">
        <f t="shared" si="0"/>
        <v>19</v>
      </c>
      <c r="S25" s="138">
        <f t="shared" si="0"/>
        <v>20</v>
      </c>
      <c r="T25" s="138">
        <f t="shared" si="0"/>
        <v>21</v>
      </c>
      <c r="U25" s="138">
        <f t="shared" si="0"/>
        <v>22</v>
      </c>
      <c r="V25" s="138">
        <f t="shared" si="0"/>
        <v>23</v>
      </c>
      <c r="W25" s="138">
        <f t="shared" si="0"/>
        <v>24</v>
      </c>
      <c r="X25" s="138">
        <f t="shared" si="0"/>
        <v>25</v>
      </c>
      <c r="Y25" s="138">
        <f t="shared" si="0"/>
        <v>26</v>
      </c>
      <c r="Z25" s="138">
        <f t="shared" si="0"/>
        <v>27</v>
      </c>
      <c r="AA25" s="138">
        <f t="shared" si="0"/>
        <v>28</v>
      </c>
      <c r="AB25" s="138">
        <f t="shared" si="0"/>
        <v>29</v>
      </c>
      <c r="AC25" s="138">
        <f t="shared" si="0"/>
        <v>30</v>
      </c>
      <c r="AD25" s="138">
        <f t="shared" si="0"/>
        <v>31</v>
      </c>
      <c r="AE25" s="138">
        <f t="shared" si="0"/>
        <v>32</v>
      </c>
      <c r="AF25" s="138">
        <f t="shared" si="0"/>
        <v>33</v>
      </c>
      <c r="AG25" s="138">
        <f t="shared" si="0"/>
        <v>34</v>
      </c>
      <c r="AH25" s="138">
        <f t="shared" si="0"/>
        <v>35</v>
      </c>
      <c r="AI25" s="138">
        <f t="shared" si="0"/>
        <v>36</v>
      </c>
      <c r="AJ25" s="138">
        <f t="shared" si="0"/>
        <v>37</v>
      </c>
      <c r="AK25" s="138">
        <f t="shared" si="0"/>
        <v>38</v>
      </c>
      <c r="AL25" s="138">
        <f t="shared" si="0"/>
        <v>39</v>
      </c>
      <c r="AM25" s="138">
        <f t="shared" si="0"/>
        <v>40</v>
      </c>
      <c r="AN25" s="138">
        <f t="shared" si="0"/>
        <v>41</v>
      </c>
      <c r="AO25" s="138">
        <f t="shared" si="0"/>
        <v>42</v>
      </c>
      <c r="AP25" s="200"/>
      <c r="AQ25" s="200"/>
      <c r="AR25" s="200"/>
      <c r="AS25" s="200"/>
      <c r="AT25" s="200"/>
      <c r="AU25" s="200"/>
      <c r="AV25" s="200"/>
    </row>
    <row r="26" spans="1:48" s="203" customFormat="1" ht="135.75" customHeight="1" x14ac:dyDescent="0.25">
      <c r="A26" s="194">
        <v>1</v>
      </c>
      <c r="B26" s="195" t="s">
        <v>294</v>
      </c>
      <c r="C26" s="195" t="s">
        <v>476</v>
      </c>
      <c r="D26" s="195" t="s">
        <v>477</v>
      </c>
      <c r="E26" s="195" t="s">
        <v>478</v>
      </c>
      <c r="F26" s="195" t="s">
        <v>478</v>
      </c>
      <c r="G26" s="195" t="s">
        <v>478</v>
      </c>
      <c r="H26" s="195" t="s">
        <v>478</v>
      </c>
      <c r="I26" s="195" t="s">
        <v>447</v>
      </c>
      <c r="J26" s="195" t="s">
        <v>478</v>
      </c>
      <c r="K26" s="195" t="s">
        <v>478</v>
      </c>
      <c r="L26" s="195" t="s">
        <v>478</v>
      </c>
      <c r="M26" s="196" t="s">
        <v>479</v>
      </c>
      <c r="N26" s="196" t="s">
        <v>465</v>
      </c>
      <c r="O26" s="196" t="s">
        <v>282</v>
      </c>
      <c r="P26" s="196" t="s">
        <v>466</v>
      </c>
      <c r="Q26" s="196" t="s">
        <v>440</v>
      </c>
      <c r="R26" s="196" t="s">
        <v>466</v>
      </c>
      <c r="S26" s="196" t="s">
        <v>446</v>
      </c>
      <c r="T26" s="196" t="s">
        <v>446</v>
      </c>
      <c r="U26" s="196" t="s">
        <v>15</v>
      </c>
      <c r="V26" s="196" t="s">
        <v>15</v>
      </c>
      <c r="W26" s="196" t="s">
        <v>480</v>
      </c>
      <c r="X26" s="196" t="s">
        <v>481</v>
      </c>
      <c r="Y26" s="196" t="s">
        <v>482</v>
      </c>
      <c r="Z26" s="196" t="s">
        <v>18</v>
      </c>
      <c r="AA26" s="196" t="s">
        <v>483</v>
      </c>
      <c r="AB26" s="196" t="s">
        <v>483</v>
      </c>
      <c r="AC26" s="196" t="s">
        <v>448</v>
      </c>
      <c r="AD26" s="196" t="s">
        <v>467</v>
      </c>
      <c r="AE26" s="197">
        <v>3982.7705802803898</v>
      </c>
      <c r="AF26" s="196" t="s">
        <v>484</v>
      </c>
      <c r="AG26" s="198" t="s">
        <v>485</v>
      </c>
      <c r="AH26" s="196" t="s">
        <v>486</v>
      </c>
      <c r="AI26" s="196" t="s">
        <v>486</v>
      </c>
      <c r="AJ26" s="196" t="s">
        <v>487</v>
      </c>
      <c r="AK26" s="196" t="s">
        <v>468</v>
      </c>
      <c r="AL26" s="330" t="s">
        <v>488</v>
      </c>
      <c r="AM26" s="331"/>
      <c r="AN26" s="331"/>
      <c r="AO26" s="332"/>
      <c r="AP26" s="196" t="s">
        <v>469</v>
      </c>
      <c r="AQ26" s="196" t="s">
        <v>469</v>
      </c>
      <c r="AR26" s="196" t="s">
        <v>469</v>
      </c>
      <c r="AS26" s="196" t="s">
        <v>469</v>
      </c>
      <c r="AT26" s="196" t="s">
        <v>489</v>
      </c>
      <c r="AU26" s="196"/>
      <c r="AV26" s="196" t="s">
        <v>490</v>
      </c>
    </row>
    <row r="27" spans="1:48" s="203" customFormat="1" ht="41.25" customHeight="1" x14ac:dyDescent="0.25">
      <c r="A27" s="194">
        <v>2</v>
      </c>
      <c r="B27" s="195" t="s">
        <v>294</v>
      </c>
      <c r="C27" s="195" t="s">
        <v>505</v>
      </c>
      <c r="D27" s="195" t="s">
        <v>477</v>
      </c>
      <c r="E27" s="195" t="s">
        <v>478</v>
      </c>
      <c r="F27" s="195" t="s">
        <v>478</v>
      </c>
      <c r="G27" s="195" t="s">
        <v>478</v>
      </c>
      <c r="H27" s="195" t="s">
        <v>478</v>
      </c>
      <c r="I27" s="195" t="s">
        <v>447</v>
      </c>
      <c r="J27" s="195" t="s">
        <v>478</v>
      </c>
      <c r="K27" s="195" t="s">
        <v>478</v>
      </c>
      <c r="L27" s="195" t="s">
        <v>478</v>
      </c>
      <c r="M27" s="196" t="s">
        <v>479</v>
      </c>
      <c r="N27" s="196" t="s">
        <v>465</v>
      </c>
      <c r="O27" s="330" t="s">
        <v>511</v>
      </c>
      <c r="P27" s="331"/>
      <c r="Q27" s="331"/>
      <c r="R27" s="331"/>
      <c r="S27" s="331"/>
      <c r="T27" s="331"/>
      <c r="U27" s="331"/>
      <c r="V27" s="331"/>
      <c r="W27" s="331"/>
      <c r="X27" s="331"/>
      <c r="Y27" s="331"/>
      <c r="Z27" s="331"/>
      <c r="AA27" s="331"/>
      <c r="AB27" s="331"/>
      <c r="AC27" s="332"/>
      <c r="AD27" s="196">
        <v>25594.193380000001</v>
      </c>
      <c r="AE27" s="197">
        <v>0</v>
      </c>
      <c r="AF27" s="196"/>
      <c r="AG27" s="198"/>
      <c r="AH27" s="196"/>
      <c r="AI27" s="196"/>
      <c r="AJ27" s="196"/>
      <c r="AK27" s="196"/>
      <c r="AL27" s="223"/>
      <c r="AM27" s="224"/>
      <c r="AN27" s="224"/>
      <c r="AO27" s="225"/>
      <c r="AP27" s="196" t="s">
        <v>512</v>
      </c>
      <c r="AQ27" s="196" t="s">
        <v>512</v>
      </c>
      <c r="AR27" s="196" t="s">
        <v>512</v>
      </c>
      <c r="AS27" s="196" t="s">
        <v>512</v>
      </c>
      <c r="AT27" s="196" t="s">
        <v>513</v>
      </c>
      <c r="AU27" s="196"/>
      <c r="AV27" s="196"/>
    </row>
    <row r="28" spans="1:48" s="209" customFormat="1" ht="30" x14ac:dyDescent="0.25">
      <c r="A28" s="204">
        <v>2</v>
      </c>
      <c r="B28" s="196" t="s">
        <v>294</v>
      </c>
      <c r="C28" s="196" t="s">
        <v>476</v>
      </c>
      <c r="D28" s="204"/>
      <c r="E28" s="204"/>
      <c r="F28" s="204"/>
      <c r="G28" s="204"/>
      <c r="H28" s="204"/>
      <c r="I28" s="204"/>
      <c r="J28" s="204"/>
      <c r="K28" s="204"/>
      <c r="L28" s="204"/>
      <c r="M28" s="196" t="s">
        <v>479</v>
      </c>
      <c r="N28" s="204" t="s">
        <v>491</v>
      </c>
      <c r="O28" s="196" t="s">
        <v>282</v>
      </c>
      <c r="P28" s="205">
        <v>3652.0680000000002</v>
      </c>
      <c r="Q28" s="196" t="s">
        <v>440</v>
      </c>
      <c r="R28" s="205">
        <v>3652.0680000000002</v>
      </c>
      <c r="S28" s="196" t="s">
        <v>446</v>
      </c>
      <c r="T28" s="196" t="s">
        <v>446</v>
      </c>
      <c r="U28" s="204">
        <v>2</v>
      </c>
      <c r="V28" s="204">
        <v>2</v>
      </c>
      <c r="W28" s="204" t="s">
        <v>492</v>
      </c>
      <c r="X28" s="205" t="s">
        <v>493</v>
      </c>
      <c r="Y28" s="204" t="s">
        <v>494</v>
      </c>
      <c r="Z28" s="206" t="s">
        <v>495</v>
      </c>
      <c r="AA28" s="206" t="s">
        <v>495</v>
      </c>
      <c r="AB28" s="206" t="s">
        <v>495</v>
      </c>
      <c r="AC28" s="196" t="s">
        <v>448</v>
      </c>
      <c r="AD28" s="207">
        <v>4205.2299999999996</v>
      </c>
      <c r="AE28" s="207">
        <v>4205.2299999999996</v>
      </c>
      <c r="AF28" s="204">
        <v>947506</v>
      </c>
      <c r="AG28" s="198" t="s">
        <v>485</v>
      </c>
      <c r="AH28" s="208">
        <v>43097</v>
      </c>
      <c r="AI28" s="208">
        <v>43097</v>
      </c>
      <c r="AJ28" s="208">
        <v>43110</v>
      </c>
      <c r="AK28" s="208">
        <v>43118</v>
      </c>
      <c r="AL28" s="330" t="s">
        <v>488</v>
      </c>
      <c r="AM28" s="331"/>
      <c r="AN28" s="331"/>
      <c r="AO28" s="332"/>
      <c r="AP28" s="208">
        <v>43129</v>
      </c>
      <c r="AQ28" s="208">
        <v>43129</v>
      </c>
      <c r="AR28" s="208">
        <v>43129</v>
      </c>
      <c r="AS28" s="208">
        <v>43129</v>
      </c>
      <c r="AT28" s="208">
        <v>43343</v>
      </c>
      <c r="AU28" s="204"/>
      <c r="AV28" s="204"/>
    </row>
    <row r="29" spans="1:48" s="209" customFormat="1" ht="25.5" x14ac:dyDescent="0.25">
      <c r="A29" s="204">
        <v>3</v>
      </c>
      <c r="B29" s="196" t="s">
        <v>294</v>
      </c>
      <c r="C29" s="196" t="s">
        <v>476</v>
      </c>
      <c r="D29" s="351" t="s">
        <v>496</v>
      </c>
      <c r="E29" s="352"/>
      <c r="F29" s="352"/>
      <c r="G29" s="352"/>
      <c r="H29" s="352"/>
      <c r="I29" s="352"/>
      <c r="J29" s="352"/>
      <c r="K29" s="352"/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52"/>
      <c r="W29" s="352"/>
      <c r="X29" s="352"/>
      <c r="Y29" s="352"/>
      <c r="Z29" s="352"/>
      <c r="AA29" s="352"/>
      <c r="AB29" s="353"/>
      <c r="AC29" s="196" t="s">
        <v>448</v>
      </c>
      <c r="AD29" s="210">
        <v>5532.7201299999997</v>
      </c>
      <c r="AE29" s="210">
        <v>5532.7201299999997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 t="s">
        <v>497</v>
      </c>
      <c r="AQ29" s="211" t="s">
        <v>497</v>
      </c>
      <c r="AR29" s="211" t="s">
        <v>497</v>
      </c>
      <c r="AS29" s="211" t="s">
        <v>497</v>
      </c>
      <c r="AT29" s="212">
        <v>43465</v>
      </c>
      <c r="AU29" s="211"/>
      <c r="AV29" s="211"/>
    </row>
  </sheetData>
  <mergeCells count="71">
    <mergeCell ref="AU22:AU24"/>
    <mergeCell ref="AV22:AV24"/>
    <mergeCell ref="AH23:AI23"/>
    <mergeCell ref="AK23:AK24"/>
    <mergeCell ref="AL23:AL24"/>
    <mergeCell ref="AM23:AM24"/>
    <mergeCell ref="AN23:AN24"/>
    <mergeCell ref="AO23:AO24"/>
    <mergeCell ref="AP23:AP24"/>
    <mergeCell ref="AQ23:AQ24"/>
    <mergeCell ref="AL26:AO26"/>
    <mergeCell ref="AL28:AO28"/>
    <mergeCell ref="D29:AB29"/>
    <mergeCell ref="AF22:AK22"/>
    <mergeCell ref="AL22:AO22"/>
    <mergeCell ref="F23:F24"/>
    <mergeCell ref="Y22:Y24"/>
    <mergeCell ref="Z22:Z24"/>
    <mergeCell ref="AJ23:AJ24"/>
    <mergeCell ref="I23:I24"/>
    <mergeCell ref="J23:J24"/>
    <mergeCell ref="E22:L22"/>
    <mergeCell ref="M22:M24"/>
    <mergeCell ref="E23:E24"/>
    <mergeCell ref="N22:N24"/>
    <mergeCell ref="O22:O24"/>
    <mergeCell ref="A16:AO16"/>
    <mergeCell ref="AR22:AR24"/>
    <mergeCell ref="AS22:AS24"/>
    <mergeCell ref="AT22:AT24"/>
    <mergeCell ref="A5:AO5"/>
    <mergeCell ref="A7:AO7"/>
    <mergeCell ref="A8:AO8"/>
    <mergeCell ref="A9:AO9"/>
    <mergeCell ref="C22:C24"/>
    <mergeCell ref="D22:D24"/>
    <mergeCell ref="A10:AO10"/>
    <mergeCell ref="AP22:AQ22"/>
    <mergeCell ref="A11:AO11"/>
    <mergeCell ref="A12:AO12"/>
    <mergeCell ref="A13:AO13"/>
    <mergeCell ref="A14:AO14"/>
    <mergeCell ref="A15:AO15"/>
    <mergeCell ref="A17:AO17"/>
    <mergeCell ref="G23:G24"/>
    <mergeCell ref="H23:H24"/>
    <mergeCell ref="K23:K24"/>
    <mergeCell ref="L23:L24"/>
    <mergeCell ref="A18:AO18"/>
    <mergeCell ref="A19:AO19"/>
    <mergeCell ref="A20:AO20"/>
    <mergeCell ref="A21:AO21"/>
    <mergeCell ref="A22:A24"/>
    <mergeCell ref="B22:B24"/>
    <mergeCell ref="U22:U24"/>
    <mergeCell ref="V22:V24"/>
    <mergeCell ref="W22:W24"/>
    <mergeCell ref="X22:X24"/>
    <mergeCell ref="S23:S24"/>
    <mergeCell ref="T23:T24"/>
    <mergeCell ref="R22:R24"/>
    <mergeCell ref="S22:T22"/>
    <mergeCell ref="O27:AC27"/>
    <mergeCell ref="AC22:AC24"/>
    <mergeCell ref="P22:P24"/>
    <mergeCell ref="Q22:Q24"/>
    <mergeCell ref="AD22:AD24"/>
    <mergeCell ref="AF23:AG23"/>
    <mergeCell ref="AE22:AE24"/>
    <mergeCell ref="AA22:AA24"/>
    <mergeCell ref="AB22:AB24"/>
  </mergeCells>
  <phoneticPr fontId="46" type="noConversion"/>
  <hyperlinks>
    <hyperlink ref="AG26" r:id="rId1"/>
    <hyperlink ref="AG28" r:id="rId2"/>
  </hyperlinks>
  <printOptions horizontalCentered="1"/>
  <pageMargins left="0.59055118110236227" right="0.59055118110236227" top="0.59055118110236227" bottom="0.59055118110236227" header="0" footer="0"/>
  <pageSetup paperSize="8" scale="28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7"/>
  <sheetViews>
    <sheetView view="pageBreakPreview" topLeftCell="A15" zoomScale="90" zoomScaleNormal="90" zoomScaleSheetLayoutView="90" workbookViewId="0">
      <selection activeCell="G32" sqref="G32"/>
    </sheetView>
  </sheetViews>
  <sheetFormatPr defaultRowHeight="15.75" x14ac:dyDescent="0.25"/>
  <cols>
    <col min="1" max="1" width="72.28515625" style="71" customWidth="1"/>
    <col min="2" max="2" width="69.140625" style="71" customWidth="1"/>
    <col min="3" max="216" width="9.140625" style="72"/>
    <col min="217" max="218" width="66.140625" style="72" customWidth="1"/>
    <col min="219" max="16384" width="9.140625" style="72"/>
  </cols>
  <sheetData>
    <row r="1" spans="1:2" ht="18.75" x14ac:dyDescent="0.25">
      <c r="B1" s="33" t="s">
        <v>22</v>
      </c>
    </row>
    <row r="2" spans="1:2" ht="18.75" x14ac:dyDescent="0.3">
      <c r="B2" s="13" t="s">
        <v>6</v>
      </c>
    </row>
    <row r="3" spans="1:2" ht="18.75" x14ac:dyDescent="0.3">
      <c r="B3" s="13" t="s">
        <v>153</v>
      </c>
    </row>
    <row r="4" spans="1:2" x14ac:dyDescent="0.25">
      <c r="B4" s="36"/>
    </row>
    <row r="5" spans="1:2" ht="18.75" x14ac:dyDescent="0.3">
      <c r="A5" s="364" t="str">
        <f>'1. паспорт местоположение'!$A$5</f>
        <v>Год раскрытия информации: 2019 год</v>
      </c>
      <c r="B5" s="364"/>
    </row>
    <row r="6" spans="1:2" ht="8.25" customHeight="1" x14ac:dyDescent="0.3">
      <c r="A6" s="81"/>
      <c r="B6" s="81"/>
    </row>
    <row r="7" spans="1:2" ht="18.75" x14ac:dyDescent="0.25">
      <c r="A7" s="249" t="s">
        <v>5</v>
      </c>
      <c r="B7" s="249"/>
    </row>
    <row r="8" spans="1:2" ht="10.5" customHeight="1" x14ac:dyDescent="0.25">
      <c r="A8" s="11"/>
      <c r="B8" s="11"/>
    </row>
    <row r="9" spans="1:2" x14ac:dyDescent="0.25">
      <c r="A9" s="250" t="s">
        <v>282</v>
      </c>
      <c r="B9" s="250"/>
    </row>
    <row r="10" spans="1:2" x14ac:dyDescent="0.25">
      <c r="A10" s="240" t="s">
        <v>4</v>
      </c>
      <c r="B10" s="240"/>
    </row>
    <row r="11" spans="1:2" ht="12.75" customHeight="1" x14ac:dyDescent="0.25">
      <c r="A11" s="11"/>
      <c r="B11" s="11"/>
    </row>
    <row r="12" spans="1:2" ht="11.25" customHeight="1" x14ac:dyDescent="0.25">
      <c r="A12" s="250" t="str">
        <f>'1. паспорт местоположение'!$A$12</f>
        <v>I_Che148</v>
      </c>
      <c r="B12" s="250"/>
    </row>
    <row r="13" spans="1:2" x14ac:dyDescent="0.25">
      <c r="A13" s="240" t="s">
        <v>3</v>
      </c>
      <c r="B13" s="240"/>
    </row>
    <row r="14" spans="1:2" ht="18.75" x14ac:dyDescent="0.25">
      <c r="A14" s="9"/>
      <c r="B14" s="9"/>
    </row>
    <row r="15" spans="1:2" ht="51" customHeight="1" x14ac:dyDescent="0.25">
      <c r="A15" s="266" t="str">
        <f>'1. паспорт местоположение'!$A$15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66"/>
    </row>
    <row r="16" spans="1:2" x14ac:dyDescent="0.25">
      <c r="A16" s="240" t="s">
        <v>2</v>
      </c>
      <c r="B16" s="240"/>
    </row>
    <row r="17" spans="1:2" x14ac:dyDescent="0.25">
      <c r="B17" s="73"/>
    </row>
    <row r="18" spans="1:2" ht="20.25" customHeight="1" x14ac:dyDescent="0.25">
      <c r="A18" s="368" t="s">
        <v>268</v>
      </c>
      <c r="B18" s="369"/>
    </row>
    <row r="19" spans="1:2" ht="10.5" customHeight="1" x14ac:dyDescent="0.25">
      <c r="B19" s="36"/>
    </row>
    <row r="20" spans="1:2" ht="10.5" customHeight="1" thickBot="1" x14ac:dyDescent="0.3">
      <c r="B20" s="74"/>
    </row>
    <row r="21" spans="1:2" s="171" customFormat="1" ht="79.5" customHeight="1" thickBot="1" x14ac:dyDescent="0.3">
      <c r="A21" s="182" t="s">
        <v>157</v>
      </c>
      <c r="B21" s="159" t="s">
        <v>463</v>
      </c>
    </row>
    <row r="22" spans="1:2" s="171" customFormat="1" ht="23.25" customHeight="1" thickBot="1" x14ac:dyDescent="0.3">
      <c r="A22" s="161" t="s">
        <v>158</v>
      </c>
      <c r="B22" s="159" t="s">
        <v>451</v>
      </c>
    </row>
    <row r="23" spans="1:2" s="171" customFormat="1" ht="65.25" customHeight="1" thickBot="1" x14ac:dyDescent="0.3">
      <c r="A23" s="161" t="s">
        <v>154</v>
      </c>
      <c r="B23" s="172" t="s">
        <v>449</v>
      </c>
    </row>
    <row r="24" spans="1:2" s="171" customFormat="1" ht="16.5" thickBot="1" x14ac:dyDescent="0.3">
      <c r="A24" s="161" t="s">
        <v>159</v>
      </c>
      <c r="B24" s="172" t="s">
        <v>464</v>
      </c>
    </row>
    <row r="25" spans="1:2" s="171" customFormat="1" ht="16.5" thickBot="1" x14ac:dyDescent="0.3">
      <c r="A25" s="173" t="s">
        <v>160</v>
      </c>
      <c r="B25" s="236">
        <f>VLOOKUP(A12,'[1]6.2. отчет'!$D:$OM,400,0)</f>
        <v>2018</v>
      </c>
    </row>
    <row r="26" spans="1:2" s="171" customFormat="1" ht="16.5" thickBot="1" x14ac:dyDescent="0.3">
      <c r="A26" s="174" t="s">
        <v>161</v>
      </c>
      <c r="B26" s="175" t="str">
        <f>'3.3 паспорт описание'!C30</f>
        <v>з</v>
      </c>
    </row>
    <row r="27" spans="1:2" s="171" customFormat="1" ht="16.5" thickBot="1" x14ac:dyDescent="0.3">
      <c r="A27" s="176" t="s">
        <v>439</v>
      </c>
      <c r="B27" s="239">
        <f>VLOOKUP($A$12,'[1]6.2. отчет'!$D:$OT,407,0)</f>
        <v>4.8710752205216199</v>
      </c>
    </row>
    <row r="28" spans="1:2" s="171" customFormat="1" ht="16.5" thickBot="1" x14ac:dyDescent="0.3">
      <c r="A28" s="159" t="s">
        <v>162</v>
      </c>
      <c r="B28" s="159" t="s">
        <v>440</v>
      </c>
    </row>
    <row r="29" spans="1:2" s="171" customFormat="1" ht="16.5" thickBot="1" x14ac:dyDescent="0.3">
      <c r="A29" s="161" t="s">
        <v>163</v>
      </c>
      <c r="B29" s="160">
        <f>B30</f>
        <v>40.878261129999999</v>
      </c>
    </row>
    <row r="30" spans="1:2" s="171" customFormat="1" ht="21.75" customHeight="1" thickBot="1" x14ac:dyDescent="0.3">
      <c r="A30" s="161" t="s">
        <v>164</v>
      </c>
      <c r="B30" s="219">
        <f>B33+B43</f>
        <v>40.878261129999999</v>
      </c>
    </row>
    <row r="31" spans="1:2" s="171" customFormat="1" ht="16.5" thickBot="1" x14ac:dyDescent="0.3">
      <c r="A31" s="159" t="s">
        <v>165</v>
      </c>
      <c r="B31" s="218" t="s">
        <v>301</v>
      </c>
    </row>
    <row r="32" spans="1:2" s="171" customFormat="1" ht="30.75" customHeight="1" thickBot="1" x14ac:dyDescent="0.3">
      <c r="A32" s="161" t="s">
        <v>166</v>
      </c>
      <c r="B32" s="214" t="s">
        <v>510</v>
      </c>
    </row>
    <row r="33" spans="1:2" s="217" customFormat="1" ht="19.5" customHeight="1" thickBot="1" x14ac:dyDescent="0.3">
      <c r="A33" s="218" t="s">
        <v>444</v>
      </c>
      <c r="B33" s="213">
        <v>5.5327201300000004</v>
      </c>
    </row>
    <row r="34" spans="1:2" s="217" customFormat="1" ht="18" customHeight="1" thickBot="1" x14ac:dyDescent="0.3">
      <c r="A34" s="218" t="s">
        <v>167</v>
      </c>
      <c r="B34" s="220">
        <v>0.83801350516592932</v>
      </c>
    </row>
    <row r="35" spans="1:2" s="217" customFormat="1" ht="18.75" customHeight="1" thickBot="1" x14ac:dyDescent="0.3">
      <c r="A35" s="218" t="s">
        <v>168</v>
      </c>
      <c r="B35" s="219">
        <v>2.4407733999999999</v>
      </c>
    </row>
    <row r="36" spans="1:2" s="217" customFormat="1" ht="15.75" customHeight="1" thickBot="1" x14ac:dyDescent="0.3">
      <c r="A36" s="218" t="s">
        <v>438</v>
      </c>
      <c r="B36" s="219">
        <v>4.5055978400000001</v>
      </c>
    </row>
    <row r="37" spans="1:2" s="171" customFormat="1" ht="29.25" thickBot="1" x14ac:dyDescent="0.3">
      <c r="A37" s="161" t="s">
        <v>170</v>
      </c>
      <c r="B37" s="159" t="s">
        <v>301</v>
      </c>
    </row>
    <row r="38" spans="1:2" s="171" customFormat="1" ht="16.5" thickBot="1" x14ac:dyDescent="0.3">
      <c r="A38" s="159" t="s">
        <v>436</v>
      </c>
      <c r="B38" s="159" t="s">
        <v>301</v>
      </c>
    </row>
    <row r="39" spans="1:2" s="171" customFormat="1" ht="16.5" thickBot="1" x14ac:dyDescent="0.3">
      <c r="A39" s="159" t="s">
        <v>167</v>
      </c>
      <c r="B39" s="177" t="s">
        <v>301</v>
      </c>
    </row>
    <row r="40" spans="1:2" s="171" customFormat="1" ht="16.5" thickBot="1" x14ac:dyDescent="0.3">
      <c r="A40" s="159" t="s">
        <v>168</v>
      </c>
      <c r="B40" s="159" t="s">
        <v>301</v>
      </c>
    </row>
    <row r="41" spans="1:2" s="171" customFormat="1" ht="16.5" thickBot="1" x14ac:dyDescent="0.3">
      <c r="A41" s="159" t="s">
        <v>169</v>
      </c>
      <c r="B41" s="159" t="s">
        <v>301</v>
      </c>
    </row>
    <row r="42" spans="1:2" s="171" customFormat="1" ht="44.25" customHeight="1" thickBot="1" x14ac:dyDescent="0.3">
      <c r="A42" s="161" t="s">
        <v>171</v>
      </c>
      <c r="B42" s="161" t="s">
        <v>509</v>
      </c>
    </row>
    <row r="43" spans="1:2" s="171" customFormat="1" ht="16.5" thickBot="1" x14ac:dyDescent="0.3">
      <c r="A43" s="159" t="s">
        <v>437</v>
      </c>
      <c r="B43" s="219">
        <v>35.345540999999997</v>
      </c>
    </row>
    <row r="44" spans="1:2" s="171" customFormat="1" ht="16.5" thickBot="1" x14ac:dyDescent="0.3">
      <c r="A44" s="159" t="s">
        <v>167</v>
      </c>
      <c r="B44" s="222">
        <v>1.6317776441206269E-2</v>
      </c>
    </row>
    <row r="45" spans="1:2" s="171" customFormat="1" ht="16.5" thickBot="1" x14ac:dyDescent="0.3">
      <c r="A45" s="159" t="s">
        <v>168</v>
      </c>
      <c r="B45" s="219">
        <v>8.7732879999999999E-2</v>
      </c>
    </row>
    <row r="46" spans="1:2" s="171" customFormat="1" ht="16.5" thickBot="1" x14ac:dyDescent="0.3">
      <c r="A46" s="159" t="s">
        <v>169</v>
      </c>
      <c r="B46" s="219">
        <v>8.7732879999999999E-2</v>
      </c>
    </row>
    <row r="47" spans="1:2" s="171" customFormat="1" x14ac:dyDescent="0.25">
      <c r="A47" s="226" t="s">
        <v>506</v>
      </c>
      <c r="B47" s="227">
        <f>B48+B49+B50</f>
        <v>2.781658E-2</v>
      </c>
    </row>
    <row r="48" spans="1:2" s="171" customFormat="1" x14ac:dyDescent="0.25">
      <c r="A48" s="228" t="s">
        <v>507</v>
      </c>
      <c r="B48" s="229">
        <v>2.781658E-2</v>
      </c>
    </row>
    <row r="49" spans="1:2" s="171" customFormat="1" x14ac:dyDescent="0.25">
      <c r="A49" s="228" t="s">
        <v>508</v>
      </c>
      <c r="B49" s="229">
        <v>0</v>
      </c>
    </row>
    <row r="50" spans="1:2" s="171" customFormat="1" ht="16.5" thickBot="1" x14ac:dyDescent="0.3">
      <c r="A50" s="228" t="s">
        <v>85</v>
      </c>
      <c r="B50" s="229">
        <v>0</v>
      </c>
    </row>
    <row r="51" spans="1:2" s="171" customFormat="1" ht="29.25" thickBot="1" x14ac:dyDescent="0.3">
      <c r="A51" s="89" t="s">
        <v>172</v>
      </c>
      <c r="B51" s="159" t="s">
        <v>301</v>
      </c>
    </row>
    <row r="52" spans="1:2" s="171" customFormat="1" ht="16.5" thickBot="1" x14ac:dyDescent="0.3">
      <c r="A52" s="178" t="s">
        <v>165</v>
      </c>
      <c r="B52" s="159" t="s">
        <v>301</v>
      </c>
    </row>
    <row r="53" spans="1:2" s="171" customFormat="1" ht="16.5" thickBot="1" x14ac:dyDescent="0.3">
      <c r="A53" s="178" t="s">
        <v>173</v>
      </c>
      <c r="B53" s="159" t="s">
        <v>301</v>
      </c>
    </row>
    <row r="54" spans="1:2" s="171" customFormat="1" ht="16.5" thickBot="1" x14ac:dyDescent="0.3">
      <c r="A54" s="178" t="s">
        <v>174</v>
      </c>
      <c r="B54" s="159" t="s">
        <v>301</v>
      </c>
    </row>
    <row r="55" spans="1:2" s="171" customFormat="1" ht="16.5" thickBot="1" x14ac:dyDescent="0.3">
      <c r="A55" s="178" t="s">
        <v>175</v>
      </c>
      <c r="B55" s="159" t="s">
        <v>301</v>
      </c>
    </row>
    <row r="56" spans="1:2" s="171" customFormat="1" ht="16.5" thickBot="1" x14ac:dyDescent="0.3">
      <c r="A56" s="173" t="s">
        <v>176</v>
      </c>
      <c r="B56" s="177">
        <f>B57/B27</f>
        <v>1.0057105624978218</v>
      </c>
    </row>
    <row r="57" spans="1:2" s="171" customFormat="1" ht="16.5" thickBot="1" x14ac:dyDescent="0.3">
      <c r="A57" s="173" t="s">
        <v>177</v>
      </c>
      <c r="B57" s="160">
        <f>'6.2. Паспорт фин осв ввод'!D24</f>
        <v>4.8988917999999995</v>
      </c>
    </row>
    <row r="58" spans="1:2" s="171" customFormat="1" ht="16.5" thickBot="1" x14ac:dyDescent="0.3">
      <c r="A58" s="173" t="s">
        <v>178</v>
      </c>
      <c r="B58" s="215">
        <f>B59/'6.2. Паспорт фин осв ввод'!C30</f>
        <v>1.109475441978758</v>
      </c>
    </row>
    <row r="59" spans="1:2" s="171" customFormat="1" ht="16.5" thickBot="1" x14ac:dyDescent="0.3">
      <c r="A59" s="174" t="s">
        <v>179</v>
      </c>
      <c r="B59" s="160">
        <f>'6.2. Паспорт фин осв ввод'!D30</f>
        <v>4.5799477400000006</v>
      </c>
    </row>
    <row r="60" spans="1:2" s="171" customFormat="1" ht="16.5" customHeight="1" x14ac:dyDescent="0.25">
      <c r="A60" s="89" t="s">
        <v>180</v>
      </c>
      <c r="B60" s="178"/>
    </row>
    <row r="61" spans="1:2" s="171" customFormat="1" x14ac:dyDescent="0.25">
      <c r="A61" s="90" t="s">
        <v>181</v>
      </c>
      <c r="B61" s="216" t="s">
        <v>294</v>
      </c>
    </row>
    <row r="62" spans="1:2" s="171" customFormat="1" x14ac:dyDescent="0.25">
      <c r="A62" s="90" t="s">
        <v>182</v>
      </c>
      <c r="B62" s="216" t="s">
        <v>448</v>
      </c>
    </row>
    <row r="63" spans="1:2" s="171" customFormat="1" x14ac:dyDescent="0.25">
      <c r="A63" s="90" t="s">
        <v>183</v>
      </c>
      <c r="B63" s="90" t="s">
        <v>301</v>
      </c>
    </row>
    <row r="64" spans="1:2" s="171" customFormat="1" x14ac:dyDescent="0.25">
      <c r="A64" s="90" t="s">
        <v>184</v>
      </c>
      <c r="B64" s="216" t="s">
        <v>448</v>
      </c>
    </row>
    <row r="65" spans="1:2" s="171" customFormat="1" ht="16.5" thickBot="1" x14ac:dyDescent="0.3">
      <c r="A65" s="91" t="s">
        <v>185</v>
      </c>
      <c r="B65" s="216" t="s">
        <v>448</v>
      </c>
    </row>
    <row r="66" spans="1:2" s="171" customFormat="1" ht="20.25" customHeight="1" thickBot="1" x14ac:dyDescent="0.3">
      <c r="A66" s="178" t="s">
        <v>186</v>
      </c>
      <c r="B66" s="90" t="s">
        <v>301</v>
      </c>
    </row>
    <row r="67" spans="1:2" s="171" customFormat="1" ht="29.25" thickBot="1" x14ac:dyDescent="0.3">
      <c r="A67" s="173" t="s">
        <v>187</v>
      </c>
      <c r="B67" s="179"/>
    </row>
    <row r="68" spans="1:2" s="171" customFormat="1" ht="16.5" thickBot="1" x14ac:dyDescent="0.3">
      <c r="A68" s="178" t="s">
        <v>165</v>
      </c>
      <c r="B68" s="221" t="s">
        <v>301</v>
      </c>
    </row>
    <row r="69" spans="1:2" s="171" customFormat="1" ht="16.5" thickBot="1" x14ac:dyDescent="0.3">
      <c r="A69" s="178" t="s">
        <v>188</v>
      </c>
      <c r="B69" s="221" t="s">
        <v>301</v>
      </c>
    </row>
    <row r="70" spans="1:2" s="171" customFormat="1" ht="16.5" thickBot="1" x14ac:dyDescent="0.3">
      <c r="A70" s="178" t="s">
        <v>189</v>
      </c>
      <c r="B70" s="221" t="s">
        <v>301</v>
      </c>
    </row>
    <row r="71" spans="1:2" s="171" customFormat="1" ht="22.5" customHeight="1" thickBot="1" x14ac:dyDescent="0.3">
      <c r="A71" s="75" t="s">
        <v>190</v>
      </c>
      <c r="B71" s="221" t="s">
        <v>301</v>
      </c>
    </row>
    <row r="72" spans="1:2" s="171" customFormat="1" ht="16.5" thickBot="1" x14ac:dyDescent="0.3">
      <c r="A72" s="173" t="s">
        <v>191</v>
      </c>
      <c r="B72" s="180" t="s">
        <v>301</v>
      </c>
    </row>
    <row r="73" spans="1:2" s="171" customFormat="1" ht="16.5" thickBot="1" x14ac:dyDescent="0.3">
      <c r="A73" s="90" t="s">
        <v>192</v>
      </c>
      <c r="B73" s="181"/>
    </row>
    <row r="74" spans="1:2" s="171" customFormat="1" ht="16.5" thickBot="1" x14ac:dyDescent="0.3">
      <c r="A74" s="90" t="s">
        <v>193</v>
      </c>
      <c r="B74" s="181"/>
    </row>
    <row r="75" spans="1:2" s="171" customFormat="1" ht="16.5" thickBot="1" x14ac:dyDescent="0.3">
      <c r="A75" s="90" t="s">
        <v>194</v>
      </c>
      <c r="B75" s="159"/>
    </row>
    <row r="76" spans="1:2" s="171" customFormat="1" ht="21" customHeight="1" thickBot="1" x14ac:dyDescent="0.3">
      <c r="A76" s="76" t="s">
        <v>195</v>
      </c>
      <c r="B76" s="140" t="s">
        <v>445</v>
      </c>
    </row>
    <row r="77" spans="1:2" s="171" customFormat="1" ht="28.5" x14ac:dyDescent="0.25">
      <c r="A77" s="89" t="s">
        <v>196</v>
      </c>
      <c r="B77" s="365" t="s">
        <v>301</v>
      </c>
    </row>
    <row r="78" spans="1:2" s="171" customFormat="1" x14ac:dyDescent="0.25">
      <c r="A78" s="90" t="s">
        <v>197</v>
      </c>
      <c r="B78" s="366"/>
    </row>
    <row r="79" spans="1:2" s="171" customFormat="1" x14ac:dyDescent="0.25">
      <c r="A79" s="90" t="s">
        <v>198</v>
      </c>
      <c r="B79" s="366"/>
    </row>
    <row r="80" spans="1:2" s="171" customFormat="1" x14ac:dyDescent="0.25">
      <c r="A80" s="90" t="s">
        <v>199</v>
      </c>
      <c r="B80" s="366"/>
    </row>
    <row r="81" spans="1:2" s="171" customFormat="1" x14ac:dyDescent="0.25">
      <c r="A81" s="90" t="s">
        <v>200</v>
      </c>
      <c r="B81" s="366"/>
    </row>
    <row r="82" spans="1:2" s="171" customFormat="1" ht="16.5" thickBot="1" x14ac:dyDescent="0.3">
      <c r="A82" s="91" t="s">
        <v>201</v>
      </c>
      <c r="B82" s="367"/>
    </row>
    <row r="85" spans="1:2" x14ac:dyDescent="0.25">
      <c r="A85" s="77"/>
      <c r="B85" s="78"/>
    </row>
    <row r="86" spans="1:2" x14ac:dyDescent="0.25">
      <c r="B86" s="79"/>
    </row>
    <row r="87" spans="1:2" x14ac:dyDescent="0.25">
      <c r="B87" s="80"/>
    </row>
  </sheetData>
  <mergeCells count="10">
    <mergeCell ref="B77:B82"/>
    <mergeCell ref="A13:B13"/>
    <mergeCell ref="A16:B16"/>
    <mergeCell ref="A18:B18"/>
    <mergeCell ref="A15:B15"/>
    <mergeCell ref="A5:B5"/>
    <mergeCell ref="A7:B7"/>
    <mergeCell ref="A10:B10"/>
    <mergeCell ref="A12:B12"/>
    <mergeCell ref="A9:B9"/>
  </mergeCells>
  <phoneticPr fontId="46" type="noConversion"/>
  <pageMargins left="0.23622047244094491" right="0.15748031496062992" top="0.43307086614173229" bottom="0.31496062992125984" header="0.19685039370078741" footer="0.1574803149606299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B24" sqref="B24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33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10" customFormat="1" ht="15.75" x14ac:dyDescent="0.2">
      <c r="A4" s="246" t="str">
        <f>'1. паспорт местоположение'!$A$5</f>
        <v>Год раскрытия информации: 2019 год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</row>
    <row r="5" spans="1:25" s="10" customFormat="1" ht="15.75" x14ac:dyDescent="0.2">
      <c r="A5" s="15"/>
      <c r="H5" s="14"/>
    </row>
    <row r="6" spans="1:25" s="10" customFormat="1" ht="18.75" x14ac:dyDescent="0.2">
      <c r="A6" s="249" t="s">
        <v>5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</row>
    <row r="7" spans="1:25" s="10" customFormat="1" ht="18.75" x14ac:dyDescent="0.2">
      <c r="A7" s="249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</row>
    <row r="8" spans="1:25" s="10" customFormat="1" ht="18.75" customHeight="1" x14ac:dyDescent="0.2">
      <c r="A8" s="250" t="s">
        <v>294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</row>
    <row r="9" spans="1:25" s="10" customFormat="1" ht="18.75" customHeight="1" x14ac:dyDescent="0.2">
      <c r="A9" s="240" t="s">
        <v>4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</row>
    <row r="10" spans="1:25" s="10" customFormat="1" ht="18.75" x14ac:dyDescent="0.2">
      <c r="A10" s="249"/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</row>
    <row r="11" spans="1:25" s="10" customFormat="1" ht="18.75" customHeight="1" x14ac:dyDescent="0.2">
      <c r="A11" s="250" t="str">
        <f>'1. паспорт местоположение'!A12:C12</f>
        <v>I_Che148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</row>
    <row r="12" spans="1:25" s="10" customFormat="1" ht="18.75" customHeight="1" x14ac:dyDescent="0.2">
      <c r="A12" s="240" t="s">
        <v>3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</row>
    <row r="13" spans="1:25" s="7" customFormat="1" ht="15.75" customHeight="1" x14ac:dyDescent="0.2">
      <c r="A13" s="257"/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</row>
    <row r="14" spans="1:25" s="2" customFormat="1" ht="15.75" x14ac:dyDescent="0.2">
      <c r="A14" s="250" t="str">
        <f>'1. паспорт местоположение'!$A$15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</row>
    <row r="15" spans="1:25" s="2" customFormat="1" ht="15" customHeight="1" x14ac:dyDescent="0.2">
      <c r="A15" s="240" t="s">
        <v>2</v>
      </c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</row>
    <row r="16" spans="1:25" s="114" customFormat="1" ht="15" customHeight="1" x14ac:dyDescent="0.2">
      <c r="A16" s="256"/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100"/>
      <c r="U16" s="100"/>
      <c r="V16" s="100"/>
      <c r="W16" s="100"/>
      <c r="X16" s="100"/>
      <c r="Y16" s="100"/>
    </row>
    <row r="17" spans="1:28" s="2" customFormat="1" ht="45.75" customHeight="1" x14ac:dyDescent="0.2">
      <c r="A17" s="247" t="s">
        <v>305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54"/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51" t="s">
        <v>1</v>
      </c>
      <c r="B19" s="251" t="s">
        <v>306</v>
      </c>
      <c r="C19" s="252" t="s">
        <v>307</v>
      </c>
      <c r="D19" s="251" t="s">
        <v>308</v>
      </c>
      <c r="E19" s="251" t="s">
        <v>309</v>
      </c>
      <c r="F19" s="251" t="s">
        <v>310</v>
      </c>
      <c r="G19" s="251" t="s">
        <v>311</v>
      </c>
      <c r="H19" s="251" t="s">
        <v>312</v>
      </c>
      <c r="I19" s="251" t="s">
        <v>313</v>
      </c>
      <c r="J19" s="251" t="s">
        <v>314</v>
      </c>
      <c r="K19" s="251" t="s">
        <v>29</v>
      </c>
      <c r="L19" s="251" t="s">
        <v>315</v>
      </c>
      <c r="M19" s="251" t="s">
        <v>316</v>
      </c>
      <c r="N19" s="251" t="s">
        <v>317</v>
      </c>
      <c r="O19" s="251" t="s">
        <v>318</v>
      </c>
      <c r="P19" s="251" t="s">
        <v>319</v>
      </c>
      <c r="Q19" s="251" t="s">
        <v>320</v>
      </c>
      <c r="R19" s="251"/>
      <c r="S19" s="255" t="s">
        <v>321</v>
      </c>
      <c r="T19" s="3"/>
      <c r="U19" s="3"/>
      <c r="V19" s="3"/>
      <c r="W19" s="3"/>
      <c r="X19" s="3"/>
      <c r="Y19" s="3"/>
    </row>
    <row r="20" spans="1:28" s="2" customFormat="1" ht="113.25" customHeight="1" x14ac:dyDescent="0.2">
      <c r="A20" s="251"/>
      <c r="B20" s="251"/>
      <c r="C20" s="253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251"/>
      <c r="P20" s="251"/>
      <c r="Q20" s="115" t="s">
        <v>322</v>
      </c>
      <c r="R20" s="116" t="s">
        <v>323</v>
      </c>
      <c r="S20" s="255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15">
        <v>1</v>
      </c>
      <c r="B21" s="117">
        <v>2</v>
      </c>
      <c r="C21" s="115">
        <v>3</v>
      </c>
      <c r="D21" s="117">
        <v>4</v>
      </c>
      <c r="E21" s="115">
        <v>5</v>
      </c>
      <c r="F21" s="117">
        <v>6</v>
      </c>
      <c r="G21" s="115">
        <v>7</v>
      </c>
      <c r="H21" s="117">
        <v>8</v>
      </c>
      <c r="I21" s="115">
        <v>9</v>
      </c>
      <c r="J21" s="117">
        <v>10</v>
      </c>
      <c r="K21" s="115">
        <v>11</v>
      </c>
      <c r="L21" s="117">
        <v>12</v>
      </c>
      <c r="M21" s="115">
        <v>13</v>
      </c>
      <c r="N21" s="117">
        <v>14</v>
      </c>
      <c r="O21" s="115">
        <v>15</v>
      </c>
      <c r="P21" s="117">
        <v>16</v>
      </c>
      <c r="Q21" s="115">
        <v>17</v>
      </c>
      <c r="R21" s="117">
        <v>18</v>
      </c>
      <c r="S21" s="115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141.75" customHeight="1" x14ac:dyDescent="0.2">
      <c r="A22" s="115">
        <v>1</v>
      </c>
      <c r="B22" s="117" t="s">
        <v>470</v>
      </c>
      <c r="C22" s="117" t="s">
        <v>301</v>
      </c>
      <c r="D22" s="117" t="s">
        <v>471</v>
      </c>
      <c r="E22" s="117" t="s">
        <v>451</v>
      </c>
      <c r="F22" s="117" t="s">
        <v>472</v>
      </c>
      <c r="G22" s="117" t="s">
        <v>473</v>
      </c>
      <c r="H22" s="117">
        <v>346.8</v>
      </c>
      <c r="I22" s="117" t="s">
        <v>301</v>
      </c>
      <c r="J22" s="117">
        <v>346.8</v>
      </c>
      <c r="K22" s="117">
        <v>110</v>
      </c>
      <c r="L22" s="117">
        <v>1</v>
      </c>
      <c r="M22" s="117" t="s">
        <v>301</v>
      </c>
      <c r="N22" s="117" t="s">
        <v>301</v>
      </c>
      <c r="O22" s="117">
        <v>173.4</v>
      </c>
      <c r="P22" s="117">
        <v>2</v>
      </c>
      <c r="Q22" s="117" t="s">
        <v>474</v>
      </c>
      <c r="R22" s="117" t="s">
        <v>301</v>
      </c>
      <c r="S22" s="117">
        <v>1082.1679999999999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N19:N20"/>
    <mergeCell ref="O19:O20"/>
    <mergeCell ref="P19:P20"/>
    <mergeCell ref="A19:A20"/>
    <mergeCell ref="A4:T4"/>
    <mergeCell ref="A6:T6"/>
    <mergeCell ref="A7:T7"/>
    <mergeCell ref="A8:T8"/>
    <mergeCell ref="A9:T9"/>
    <mergeCell ref="A15:T15"/>
    <mergeCell ref="A16:S16"/>
    <mergeCell ref="A10:T10"/>
    <mergeCell ref="A11:T11"/>
    <mergeCell ref="A12:T12"/>
    <mergeCell ref="A13:T13"/>
    <mergeCell ref="A14:T14"/>
    <mergeCell ref="B19:B20"/>
    <mergeCell ref="C19:C20"/>
    <mergeCell ref="D19:D20"/>
    <mergeCell ref="Q19:R19"/>
    <mergeCell ref="A17:S17"/>
    <mergeCell ref="A18:S18"/>
    <mergeCell ref="E19:E20"/>
    <mergeCell ref="F19:F20"/>
    <mergeCell ref="I19:I20"/>
    <mergeCell ref="J19:J20"/>
    <mergeCell ref="G19:G20"/>
    <mergeCell ref="H19:H20"/>
    <mergeCell ref="K19:K20"/>
    <mergeCell ref="L19:L20"/>
    <mergeCell ref="S19:S20"/>
    <mergeCell ref="M19:M20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28"/>
  <sheetViews>
    <sheetView view="pageBreakPreview" topLeftCell="A16" zoomScale="85" zoomScaleNormal="60" zoomScaleSheetLayoutView="85" workbookViewId="0">
      <selection activeCell="C28" sqref="C28"/>
    </sheetView>
  </sheetViews>
  <sheetFormatPr defaultColWidth="10.7109375" defaultRowHeight="15.75" x14ac:dyDescent="0.25"/>
  <cols>
    <col min="1" max="1" width="9.5703125" style="38" customWidth="1"/>
    <col min="2" max="2" width="12" style="38" customWidth="1"/>
    <col min="3" max="3" width="45.140625" style="38" customWidth="1"/>
    <col min="4" max="4" width="44.28515625" style="38" customWidth="1"/>
    <col min="5" max="5" width="11.140625" style="38" customWidth="1"/>
    <col min="6" max="6" width="12.5703125" style="38" customWidth="1"/>
    <col min="7" max="8" width="8.7109375" style="38" customWidth="1"/>
    <col min="9" max="9" width="7.28515625" style="38" customWidth="1"/>
    <col min="10" max="10" width="9.28515625" style="38" customWidth="1"/>
    <col min="11" max="11" width="10.28515625" style="38" customWidth="1"/>
    <col min="12" max="15" width="8.7109375" style="38" customWidth="1"/>
    <col min="16" max="16" width="19.42578125" style="38" customWidth="1"/>
    <col min="17" max="17" width="21.7109375" style="38" customWidth="1"/>
    <col min="18" max="18" width="22" style="38" customWidth="1"/>
    <col min="19" max="19" width="19.7109375" style="38" customWidth="1"/>
    <col min="20" max="20" width="18.42578125" style="38" customWidth="1"/>
    <col min="21" max="237" width="10.7109375" style="38"/>
    <col min="238" max="242" width="15.7109375" style="38" customWidth="1"/>
    <col min="243" max="246" width="12.7109375" style="38" customWidth="1"/>
    <col min="247" max="250" width="15.7109375" style="38" customWidth="1"/>
    <col min="251" max="251" width="22.85546875" style="38" customWidth="1"/>
    <col min="252" max="252" width="20.7109375" style="38" customWidth="1"/>
    <col min="253" max="253" width="16.7109375" style="38" customWidth="1"/>
    <col min="254" max="16384" width="10.7109375" style="38"/>
  </cols>
  <sheetData>
    <row r="1" spans="1:20" ht="3" customHeight="1" x14ac:dyDescent="0.25"/>
    <row r="2" spans="1:20" ht="15" customHeight="1" x14ac:dyDescent="0.25">
      <c r="T2" s="33" t="s">
        <v>22</v>
      </c>
    </row>
    <row r="3" spans="1:20" s="10" customFormat="1" ht="18.75" customHeight="1" x14ac:dyDescent="0.3">
      <c r="A3" s="16"/>
      <c r="H3" s="14"/>
      <c r="T3" s="13" t="s">
        <v>6</v>
      </c>
    </row>
    <row r="4" spans="1:20" s="10" customFormat="1" ht="18.75" customHeight="1" x14ac:dyDescent="0.3">
      <c r="A4" s="16"/>
      <c r="H4" s="14"/>
      <c r="T4" s="13" t="s">
        <v>21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246" t="str">
        <f>'1. паспорт местоположение'!$A$5</f>
        <v>Год раскрытия информации: 2019 год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</row>
    <row r="7" spans="1:20" s="10" customFormat="1" x14ac:dyDescent="0.2">
      <c r="A7" s="15"/>
      <c r="H7" s="14"/>
    </row>
    <row r="8" spans="1:20" s="10" customFormat="1" ht="18.75" x14ac:dyDescent="0.2">
      <c r="A8" s="249" t="s">
        <v>5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</row>
    <row r="9" spans="1:20" s="10" customFormat="1" ht="18.75" x14ac:dyDescent="0.2">
      <c r="A9" s="249"/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</row>
    <row r="10" spans="1:20" s="10" customFormat="1" ht="18.75" customHeight="1" x14ac:dyDescent="0.2">
      <c r="A10" s="250" t="s">
        <v>282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</row>
    <row r="11" spans="1:20" s="10" customFormat="1" ht="18.75" customHeight="1" x14ac:dyDescent="0.2">
      <c r="A11" s="240" t="s">
        <v>4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</row>
    <row r="12" spans="1:20" s="10" customFormat="1" ht="18.75" x14ac:dyDescent="0.2">
      <c r="A12" s="249"/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</row>
    <row r="13" spans="1:20" s="10" customFormat="1" ht="18.75" customHeight="1" x14ac:dyDescent="0.2">
      <c r="A13" s="250" t="str">
        <f>'1. паспорт местоположение'!$A$12</f>
        <v>I_Che148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</row>
    <row r="14" spans="1:20" s="10" customFormat="1" ht="18.75" customHeight="1" x14ac:dyDescent="0.2">
      <c r="A14" s="240" t="s">
        <v>3</v>
      </c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</row>
    <row r="15" spans="1:20" s="7" customFormat="1" ht="15.75" customHeight="1" x14ac:dyDescent="0.2">
      <c r="A15" s="257"/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</row>
    <row r="16" spans="1:20" s="2" customFormat="1" ht="84" customHeight="1" x14ac:dyDescent="0.2">
      <c r="A16" s="266" t="str">
        <f>'1. паспорт местоположение'!$A$15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</row>
    <row r="17" spans="1:113" s="2" customFormat="1" ht="15" customHeight="1" x14ac:dyDescent="0.2">
      <c r="A17" s="240" t="s">
        <v>2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</row>
    <row r="18" spans="1:113" s="2" customFormat="1" ht="15" customHeight="1" x14ac:dyDescent="0.2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</row>
    <row r="19" spans="1:113" s="2" customFormat="1" ht="15" customHeight="1" x14ac:dyDescent="0.2">
      <c r="A19" s="248" t="s">
        <v>254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</row>
    <row r="20" spans="1:113" s="44" customFormat="1" ht="21" customHeight="1" x14ac:dyDescent="0.25">
      <c r="A20" s="258"/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</row>
    <row r="21" spans="1:113" ht="46.5" customHeight="1" x14ac:dyDescent="0.25">
      <c r="A21" s="270" t="s">
        <v>1</v>
      </c>
      <c r="B21" s="262" t="s">
        <v>142</v>
      </c>
      <c r="C21" s="263"/>
      <c r="D21" s="259" t="s">
        <v>41</v>
      </c>
      <c r="E21" s="262" t="s">
        <v>274</v>
      </c>
      <c r="F21" s="263"/>
      <c r="G21" s="262" t="s">
        <v>152</v>
      </c>
      <c r="H21" s="263"/>
      <c r="I21" s="262" t="s">
        <v>40</v>
      </c>
      <c r="J21" s="263"/>
      <c r="K21" s="259" t="s">
        <v>39</v>
      </c>
      <c r="L21" s="262" t="s">
        <v>38</v>
      </c>
      <c r="M21" s="263"/>
      <c r="N21" s="262" t="s">
        <v>271</v>
      </c>
      <c r="O21" s="263"/>
      <c r="P21" s="259" t="s">
        <v>37</v>
      </c>
      <c r="Q21" s="267" t="s">
        <v>36</v>
      </c>
      <c r="R21" s="268"/>
      <c r="S21" s="267" t="s">
        <v>35</v>
      </c>
      <c r="T21" s="269"/>
    </row>
    <row r="22" spans="1:113" ht="204.75" customHeight="1" x14ac:dyDescent="0.25">
      <c r="A22" s="271"/>
      <c r="B22" s="264"/>
      <c r="C22" s="265"/>
      <c r="D22" s="273"/>
      <c r="E22" s="264"/>
      <c r="F22" s="265"/>
      <c r="G22" s="264"/>
      <c r="H22" s="265"/>
      <c r="I22" s="264"/>
      <c r="J22" s="265"/>
      <c r="K22" s="260"/>
      <c r="L22" s="264"/>
      <c r="M22" s="265"/>
      <c r="N22" s="264"/>
      <c r="O22" s="265"/>
      <c r="P22" s="260"/>
      <c r="Q22" s="68" t="s">
        <v>34</v>
      </c>
      <c r="R22" s="68" t="s">
        <v>253</v>
      </c>
      <c r="S22" s="68" t="s">
        <v>33</v>
      </c>
      <c r="T22" s="68" t="s">
        <v>32</v>
      </c>
    </row>
    <row r="23" spans="1:113" ht="51.75" customHeight="1" x14ac:dyDescent="0.25">
      <c r="A23" s="272"/>
      <c r="B23" s="83" t="s">
        <v>30</v>
      </c>
      <c r="C23" s="83" t="s">
        <v>31</v>
      </c>
      <c r="D23" s="260"/>
      <c r="E23" s="83" t="s">
        <v>30</v>
      </c>
      <c r="F23" s="83" t="s">
        <v>31</v>
      </c>
      <c r="G23" s="83" t="s">
        <v>30</v>
      </c>
      <c r="H23" s="83" t="s">
        <v>31</v>
      </c>
      <c r="I23" s="83" t="s">
        <v>30</v>
      </c>
      <c r="J23" s="83" t="s">
        <v>31</v>
      </c>
      <c r="K23" s="83" t="s">
        <v>30</v>
      </c>
      <c r="L23" s="83" t="s">
        <v>30</v>
      </c>
      <c r="M23" s="83" t="s">
        <v>31</v>
      </c>
      <c r="N23" s="83" t="s">
        <v>30</v>
      </c>
      <c r="O23" s="83" t="s">
        <v>31</v>
      </c>
      <c r="P23" s="84" t="s">
        <v>30</v>
      </c>
      <c r="Q23" s="68" t="s">
        <v>30</v>
      </c>
      <c r="R23" s="68" t="s">
        <v>30</v>
      </c>
      <c r="S23" s="68" t="s">
        <v>30</v>
      </c>
      <c r="T23" s="68" t="s">
        <v>30</v>
      </c>
    </row>
    <row r="24" spans="1:113" ht="21" customHeight="1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170" customFormat="1" ht="26.25" customHeight="1" x14ac:dyDescent="0.25">
      <c r="A25" s="164">
        <v>1</v>
      </c>
      <c r="B25" s="165" t="s">
        <v>301</v>
      </c>
      <c r="C25" s="166" t="s">
        <v>301</v>
      </c>
      <c r="D25" s="167" t="s">
        <v>301</v>
      </c>
      <c r="E25" s="168" t="s">
        <v>301</v>
      </c>
      <c r="F25" s="167" t="s">
        <v>301</v>
      </c>
      <c r="G25" s="165" t="s">
        <v>301</v>
      </c>
      <c r="H25" s="165" t="s">
        <v>301</v>
      </c>
      <c r="I25" s="165" t="s">
        <v>301</v>
      </c>
      <c r="J25" s="165" t="s">
        <v>301</v>
      </c>
      <c r="K25" s="165" t="s">
        <v>301</v>
      </c>
      <c r="L25" s="165" t="s">
        <v>301</v>
      </c>
      <c r="M25" s="164" t="s">
        <v>301</v>
      </c>
      <c r="N25" s="164" t="s">
        <v>301</v>
      </c>
      <c r="O25" s="164" t="s">
        <v>301</v>
      </c>
      <c r="P25" s="169" t="s">
        <v>301</v>
      </c>
      <c r="Q25" s="169" t="s">
        <v>301</v>
      </c>
      <c r="R25" s="169" t="s">
        <v>301</v>
      </c>
      <c r="S25" s="169" t="s">
        <v>301</v>
      </c>
      <c r="T25" s="169" t="s">
        <v>301</v>
      </c>
    </row>
    <row r="26" spans="1:113" ht="21.75" customHeight="1" x14ac:dyDescent="0.25"/>
    <row r="27" spans="1:113" s="42" customFormat="1" ht="12.75" x14ac:dyDescent="0.2">
      <c r="B27" s="43"/>
      <c r="C27" s="43"/>
      <c r="K27" s="43"/>
    </row>
    <row r="28" spans="1:113" s="39" customFormat="1" x14ac:dyDescent="0.25"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</row>
  </sheetData>
  <mergeCells count="26">
    <mergeCell ref="A6:T6"/>
    <mergeCell ref="Q21:R21"/>
    <mergeCell ref="S21:T21"/>
    <mergeCell ref="A8:T8"/>
    <mergeCell ref="A9:T9"/>
    <mergeCell ref="A10:T10"/>
    <mergeCell ref="A11:T11"/>
    <mergeCell ref="A12:T12"/>
    <mergeCell ref="A21:A23"/>
    <mergeCell ref="E21:F22"/>
    <mergeCell ref="A17:T17"/>
    <mergeCell ref="N21:O22"/>
    <mergeCell ref="B21:C22"/>
    <mergeCell ref="A19:T19"/>
    <mergeCell ref="D21:D23"/>
    <mergeCell ref="P21:P22"/>
    <mergeCell ref="A13:T13"/>
    <mergeCell ref="A20:T20"/>
    <mergeCell ref="K21:K22"/>
    <mergeCell ref="A18:T18"/>
    <mergeCell ref="G21:H22"/>
    <mergeCell ref="I21:J22"/>
    <mergeCell ref="A15:T15"/>
    <mergeCell ref="A14:T14"/>
    <mergeCell ref="A16:T16"/>
    <mergeCell ref="L21:M22"/>
  </mergeCells>
  <phoneticPr fontId="46" type="noConversion"/>
  <pageMargins left="0.21" right="0.17" top="0.78740157480314965" bottom="0.39370078740157483" header="0.19685039370078741" footer="0.19685039370078741"/>
  <pageSetup paperSize="8" scale="6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topLeftCell="A10" zoomScale="85" zoomScaleNormal="100" zoomScaleSheetLayoutView="85" workbookViewId="0">
      <selection activeCell="E23" sqref="E23"/>
    </sheetView>
  </sheetViews>
  <sheetFormatPr defaultColWidth="17.7109375" defaultRowHeight="15.75" x14ac:dyDescent="0.25"/>
  <cols>
    <col min="1" max="2" width="10.7109375" style="38" customWidth="1"/>
    <col min="3" max="3" width="37.7109375" style="38" customWidth="1"/>
    <col min="4" max="4" width="19" style="38" customWidth="1"/>
    <col min="5" max="5" width="33.4257812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5.7109375" style="38" customWidth="1"/>
    <col min="15" max="16" width="8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2" width="8.7109375" style="38" customWidth="1"/>
    <col min="23" max="23" width="11.85546875" style="38" customWidth="1"/>
    <col min="24" max="24" width="24.5703125" style="38" customWidth="1"/>
    <col min="25" max="25" width="15.28515625" style="38" customWidth="1"/>
    <col min="26" max="26" width="18.5703125" style="38" customWidth="1"/>
    <col min="27" max="27" width="19.140625" style="38" customWidth="1"/>
    <col min="28" max="240" width="10.7109375" style="38" customWidth="1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16384" width="17.7109375" style="38"/>
  </cols>
  <sheetData>
    <row r="1" spans="1:27" ht="25.5" customHeight="1" x14ac:dyDescent="0.25">
      <c r="AA1" s="33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246" t="str">
        <f>'1. паспорт местоположение'!$A$5</f>
        <v>Год раскрытия информации: 2019 год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</row>
    <row r="6" spans="1:27" s="10" customFormat="1" x14ac:dyDescent="0.2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</row>
    <row r="7" spans="1:27" s="10" customFormat="1" ht="18.75" x14ac:dyDescent="0.2">
      <c r="E7" s="249" t="s">
        <v>5</v>
      </c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250" t="s">
        <v>282</v>
      </c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</row>
    <row r="10" spans="1:27" s="10" customFormat="1" ht="18.75" customHeight="1" x14ac:dyDescent="0.2">
      <c r="E10" s="240" t="s">
        <v>4</v>
      </c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250" t="str">
        <f>'1. паспорт местоположение'!$A$12</f>
        <v>I_Che148</v>
      </c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</row>
    <row r="13" spans="1:27" s="10" customFormat="1" ht="18.75" customHeight="1" x14ac:dyDescent="0.2">
      <c r="E13" s="240" t="s">
        <v>3</v>
      </c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99" customHeight="1" x14ac:dyDescent="0.2">
      <c r="E15" s="266" t="str">
        <f>'1. паспорт местоположение'!$A$15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266"/>
      <c r="Y15" s="266"/>
    </row>
    <row r="16" spans="1:27" s="2" customFormat="1" ht="15" customHeight="1" x14ac:dyDescent="0.2">
      <c r="E16" s="240" t="s">
        <v>2</v>
      </c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0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</row>
    <row r="19" spans="1:27" ht="25.5" customHeight="1" x14ac:dyDescent="0.25">
      <c r="A19" s="248" t="s">
        <v>256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</row>
    <row r="20" spans="1:27" s="44" customFormat="1" ht="21" customHeight="1" x14ac:dyDescent="0.25"/>
    <row r="21" spans="1:27" ht="15.75" customHeight="1" x14ac:dyDescent="0.25">
      <c r="A21" s="274" t="s">
        <v>1</v>
      </c>
      <c r="B21" s="276" t="s">
        <v>261</v>
      </c>
      <c r="C21" s="277"/>
      <c r="D21" s="276" t="s">
        <v>263</v>
      </c>
      <c r="E21" s="277"/>
      <c r="F21" s="267" t="s">
        <v>29</v>
      </c>
      <c r="G21" s="269"/>
      <c r="H21" s="269"/>
      <c r="I21" s="268"/>
      <c r="J21" s="274" t="s">
        <v>264</v>
      </c>
      <c r="K21" s="276" t="s">
        <v>265</v>
      </c>
      <c r="L21" s="277"/>
      <c r="M21" s="276" t="s">
        <v>266</v>
      </c>
      <c r="N21" s="277"/>
      <c r="O21" s="276" t="s">
        <v>255</v>
      </c>
      <c r="P21" s="277"/>
      <c r="Q21" s="276" t="s">
        <v>46</v>
      </c>
      <c r="R21" s="277"/>
      <c r="S21" s="274" t="s">
        <v>45</v>
      </c>
      <c r="T21" s="274" t="s">
        <v>267</v>
      </c>
      <c r="U21" s="274" t="s">
        <v>262</v>
      </c>
      <c r="V21" s="276" t="s">
        <v>44</v>
      </c>
      <c r="W21" s="277"/>
      <c r="X21" s="267" t="s">
        <v>36</v>
      </c>
      <c r="Y21" s="269"/>
      <c r="Z21" s="267" t="s">
        <v>35</v>
      </c>
      <c r="AA21" s="269"/>
    </row>
    <row r="22" spans="1:27" ht="216" customHeight="1" x14ac:dyDescent="0.25">
      <c r="A22" s="280"/>
      <c r="B22" s="278"/>
      <c r="C22" s="279"/>
      <c r="D22" s="278"/>
      <c r="E22" s="279"/>
      <c r="F22" s="267" t="s">
        <v>43</v>
      </c>
      <c r="G22" s="268"/>
      <c r="H22" s="267" t="s">
        <v>42</v>
      </c>
      <c r="I22" s="268"/>
      <c r="J22" s="275"/>
      <c r="K22" s="278"/>
      <c r="L22" s="279"/>
      <c r="M22" s="278"/>
      <c r="N22" s="279"/>
      <c r="O22" s="278"/>
      <c r="P22" s="279"/>
      <c r="Q22" s="278"/>
      <c r="R22" s="279"/>
      <c r="S22" s="275"/>
      <c r="T22" s="275"/>
      <c r="U22" s="275"/>
      <c r="V22" s="278"/>
      <c r="W22" s="279"/>
      <c r="X22" s="68" t="s">
        <v>34</v>
      </c>
      <c r="Y22" s="68" t="s">
        <v>253</v>
      </c>
      <c r="Z22" s="68" t="s">
        <v>33</v>
      </c>
      <c r="AA22" s="68" t="s">
        <v>32</v>
      </c>
    </row>
    <row r="23" spans="1:27" ht="60" customHeight="1" x14ac:dyDescent="0.25">
      <c r="A23" s="275"/>
      <c r="B23" s="69" t="s">
        <v>30</v>
      </c>
      <c r="C23" s="69" t="s">
        <v>31</v>
      </c>
      <c r="D23" s="69" t="s">
        <v>30</v>
      </c>
      <c r="E23" s="69" t="s">
        <v>31</v>
      </c>
      <c r="F23" s="69" t="s">
        <v>30</v>
      </c>
      <c r="G23" s="69" t="s">
        <v>31</v>
      </c>
      <c r="H23" s="69" t="s">
        <v>30</v>
      </c>
      <c r="I23" s="69" t="s">
        <v>31</v>
      </c>
      <c r="J23" s="69" t="s">
        <v>30</v>
      </c>
      <c r="K23" s="69" t="s">
        <v>30</v>
      </c>
      <c r="L23" s="69" t="s">
        <v>31</v>
      </c>
      <c r="M23" s="69" t="s">
        <v>30</v>
      </c>
      <c r="N23" s="69" t="s">
        <v>31</v>
      </c>
      <c r="O23" s="69" t="s">
        <v>30</v>
      </c>
      <c r="P23" s="69" t="s">
        <v>31</v>
      </c>
      <c r="Q23" s="69" t="s">
        <v>30</v>
      </c>
      <c r="R23" s="69" t="s">
        <v>31</v>
      </c>
      <c r="S23" s="69" t="s">
        <v>30</v>
      </c>
      <c r="T23" s="69" t="s">
        <v>30</v>
      </c>
      <c r="U23" s="69" t="s">
        <v>30</v>
      </c>
      <c r="V23" s="69" t="s">
        <v>30</v>
      </c>
      <c r="W23" s="69" t="s">
        <v>31</v>
      </c>
      <c r="X23" s="69" t="s">
        <v>30</v>
      </c>
      <c r="Y23" s="69" t="s">
        <v>30</v>
      </c>
      <c r="Z23" s="68" t="s">
        <v>30</v>
      </c>
      <c r="AA23" s="68" t="s">
        <v>30</v>
      </c>
    </row>
    <row r="24" spans="1:27" x14ac:dyDescent="0.25">
      <c r="A24" s="70">
        <v>1</v>
      </c>
      <c r="B24" s="70">
        <v>2</v>
      </c>
      <c r="C24" s="70">
        <v>3</v>
      </c>
      <c r="D24" s="70">
        <v>4</v>
      </c>
      <c r="E24" s="70">
        <v>5</v>
      </c>
      <c r="F24" s="70">
        <v>6</v>
      </c>
      <c r="G24" s="70">
        <v>7</v>
      </c>
      <c r="H24" s="70">
        <v>8</v>
      </c>
      <c r="I24" s="70">
        <v>9</v>
      </c>
      <c r="J24" s="70">
        <v>10</v>
      </c>
      <c r="K24" s="70">
        <v>11</v>
      </c>
      <c r="L24" s="70">
        <v>12</v>
      </c>
      <c r="M24" s="70">
        <v>13</v>
      </c>
      <c r="N24" s="70">
        <v>14</v>
      </c>
      <c r="O24" s="70">
        <v>15</v>
      </c>
      <c r="P24" s="70">
        <v>16</v>
      </c>
      <c r="Q24" s="70">
        <v>19</v>
      </c>
      <c r="R24" s="70">
        <v>20</v>
      </c>
      <c r="S24" s="70">
        <v>21</v>
      </c>
      <c r="T24" s="70">
        <v>22</v>
      </c>
      <c r="U24" s="70">
        <v>23</v>
      </c>
      <c r="V24" s="70">
        <v>24</v>
      </c>
      <c r="W24" s="70">
        <v>25</v>
      </c>
      <c r="X24" s="70">
        <v>26</v>
      </c>
      <c r="Y24" s="70">
        <v>27</v>
      </c>
      <c r="Z24" s="70">
        <v>28</v>
      </c>
      <c r="AA24" s="70">
        <v>29</v>
      </c>
    </row>
    <row r="25" spans="1:27" s="188" customFormat="1" ht="31.5" x14ac:dyDescent="0.25">
      <c r="A25" s="184">
        <v>1</v>
      </c>
      <c r="B25" s="184" t="s">
        <v>301</v>
      </c>
      <c r="C25" s="185" t="s">
        <v>458</v>
      </c>
      <c r="D25" s="184" t="s">
        <v>301</v>
      </c>
      <c r="E25" s="185" t="s">
        <v>442</v>
      </c>
      <c r="F25" s="184" t="s">
        <v>301</v>
      </c>
      <c r="G25" s="184">
        <v>10</v>
      </c>
      <c r="H25" s="184" t="s">
        <v>301</v>
      </c>
      <c r="I25" s="184" t="s">
        <v>301</v>
      </c>
      <c r="J25" s="186">
        <v>2018</v>
      </c>
      <c r="K25" s="184" t="s">
        <v>301</v>
      </c>
      <c r="L25" s="186" t="s">
        <v>18</v>
      </c>
      <c r="M25" s="184" t="s">
        <v>301</v>
      </c>
      <c r="N25" s="162" t="s">
        <v>441</v>
      </c>
      <c r="O25" s="109" t="s">
        <v>301</v>
      </c>
      <c r="P25" s="162" t="s">
        <v>280</v>
      </c>
      <c r="Q25" s="184" t="s">
        <v>301</v>
      </c>
      <c r="R25" s="186">
        <v>0.5</v>
      </c>
      <c r="S25" s="187" t="s">
        <v>301</v>
      </c>
      <c r="T25" s="187" t="s">
        <v>301</v>
      </c>
      <c r="U25" s="187" t="s">
        <v>301</v>
      </c>
      <c r="V25" s="187" t="s">
        <v>301</v>
      </c>
      <c r="W25" s="109" t="s">
        <v>292</v>
      </c>
      <c r="X25" s="184" t="s">
        <v>301</v>
      </c>
      <c r="Y25" s="184" t="s">
        <v>301</v>
      </c>
      <c r="Z25" s="184" t="s">
        <v>301</v>
      </c>
      <c r="AA25" s="184" t="s">
        <v>301</v>
      </c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15:Y15"/>
    <mergeCell ref="E7:Y7"/>
    <mergeCell ref="E9:Y9"/>
    <mergeCell ref="E10:Y10"/>
    <mergeCell ref="E12:Y12"/>
    <mergeCell ref="E13:Y13"/>
  </mergeCells>
  <phoneticPr fontId="46" type="noConversion"/>
  <pageMargins left="0.15748031496062992" right="0.15748031496062992" top="0.78740157480314965" bottom="0.39370078740157483" header="0.19685039370078741" footer="0.19685039370078741"/>
  <pageSetup paperSize="8" scale="4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2"/>
  <sheetViews>
    <sheetView view="pageBreakPreview" topLeftCell="A13" zoomScale="80" zoomScaleNormal="100" zoomScaleSheetLayoutView="80" workbookViewId="0">
      <selection activeCell="C28" sqref="C28:C30"/>
    </sheetView>
  </sheetViews>
  <sheetFormatPr defaultRowHeight="15" x14ac:dyDescent="0.25"/>
  <cols>
    <col min="1" max="1" width="6.140625" style="1" customWidth="1"/>
    <col min="2" max="2" width="69.7109375" style="1" customWidth="1"/>
    <col min="3" max="3" width="88.28515625" style="1" customWidth="1"/>
    <col min="4" max="16384" width="9.140625" style="1"/>
  </cols>
  <sheetData>
    <row r="1" spans="1:4" s="10" customFormat="1" ht="18.75" customHeight="1" x14ac:dyDescent="0.2">
      <c r="A1" s="16"/>
      <c r="C1" s="33" t="s">
        <v>22</v>
      </c>
    </row>
    <row r="2" spans="1:4" s="10" customFormat="1" ht="18.75" customHeight="1" x14ac:dyDescent="0.3">
      <c r="A2" s="16"/>
      <c r="C2" s="13" t="s">
        <v>6</v>
      </c>
    </row>
    <row r="3" spans="1:4" s="10" customFormat="1" ht="18.75" customHeight="1" x14ac:dyDescent="0.3">
      <c r="A3" s="15"/>
      <c r="C3" s="13" t="s">
        <v>21</v>
      </c>
    </row>
    <row r="4" spans="1:4" s="10" customFormat="1" ht="18.75" customHeight="1" x14ac:dyDescent="0.3">
      <c r="A4" s="15"/>
      <c r="C4" s="13"/>
    </row>
    <row r="5" spans="1:4" s="10" customFormat="1" ht="15.75" x14ac:dyDescent="0.2">
      <c r="A5" s="246" t="str">
        <f>'1. паспорт местоположение'!$A$5</f>
        <v>Год раскрытия информации: 2019 год</v>
      </c>
      <c r="B5" s="246"/>
      <c r="C5" s="246"/>
      <c r="D5" s="87"/>
    </row>
    <row r="6" spans="1:4" s="10" customFormat="1" ht="7.5" customHeight="1" x14ac:dyDescent="0.2">
      <c r="A6" s="15"/>
    </row>
    <row r="7" spans="1:4" s="10" customFormat="1" ht="18.75" x14ac:dyDescent="0.2">
      <c r="A7" s="249" t="s">
        <v>5</v>
      </c>
      <c r="B7" s="249"/>
      <c r="C7" s="249"/>
    </row>
    <row r="8" spans="1:4" s="10" customFormat="1" ht="9.75" customHeight="1" x14ac:dyDescent="0.2">
      <c r="A8" s="249"/>
      <c r="B8" s="249"/>
      <c r="C8" s="249"/>
    </row>
    <row r="9" spans="1:4" s="10" customFormat="1" ht="15.75" x14ac:dyDescent="0.2">
      <c r="A9" s="250" t="s">
        <v>282</v>
      </c>
      <c r="B9" s="250"/>
      <c r="C9" s="250"/>
    </row>
    <row r="10" spans="1:4" s="10" customFormat="1" ht="15.75" x14ac:dyDescent="0.2">
      <c r="A10" s="240" t="s">
        <v>4</v>
      </c>
      <c r="B10" s="240"/>
      <c r="C10" s="240"/>
    </row>
    <row r="11" spans="1:4" s="10" customFormat="1" ht="10.5" customHeight="1" x14ac:dyDescent="0.2">
      <c r="A11" s="249"/>
      <c r="B11" s="249"/>
      <c r="C11" s="249"/>
    </row>
    <row r="12" spans="1:4" s="10" customFormat="1" ht="15.75" x14ac:dyDescent="0.2">
      <c r="A12" s="250" t="str">
        <f>'1. паспорт местоположение'!$A$12</f>
        <v>I_Che148</v>
      </c>
      <c r="B12" s="250"/>
      <c r="C12" s="250"/>
    </row>
    <row r="13" spans="1:4" s="10" customFormat="1" ht="15.75" x14ac:dyDescent="0.2">
      <c r="A13" s="240" t="s">
        <v>3</v>
      </c>
      <c r="B13" s="240"/>
      <c r="C13" s="240"/>
    </row>
    <row r="14" spans="1:4" s="7" customFormat="1" ht="15.75" customHeight="1" x14ac:dyDescent="0.2">
      <c r="A14" s="257"/>
      <c r="B14" s="257"/>
      <c r="C14" s="257"/>
    </row>
    <row r="15" spans="1:4" s="2" customFormat="1" ht="98.25" customHeight="1" x14ac:dyDescent="0.2">
      <c r="A15" s="281" t="str">
        <f>'1. паспорт местоположение'!$A$15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81"/>
      <c r="C15" s="281"/>
    </row>
    <row r="16" spans="1:4" s="2" customFormat="1" ht="15" customHeight="1" x14ac:dyDescent="0.2">
      <c r="A16" s="240" t="s">
        <v>2</v>
      </c>
      <c r="B16" s="240"/>
      <c r="C16" s="240"/>
    </row>
    <row r="17" spans="1:3" s="2" customFormat="1" ht="9" customHeight="1" x14ac:dyDescent="0.2">
      <c r="A17" s="261"/>
      <c r="B17" s="261"/>
      <c r="C17" s="261"/>
    </row>
    <row r="18" spans="1:3" s="2" customFormat="1" ht="27.75" customHeight="1" x14ac:dyDescent="0.2">
      <c r="A18" s="247" t="s">
        <v>251</v>
      </c>
      <c r="B18" s="247"/>
      <c r="C18" s="247"/>
    </row>
    <row r="19" spans="1:3" s="2" customFormat="1" ht="9" customHeight="1" x14ac:dyDescent="0.2">
      <c r="A19" s="4"/>
      <c r="B19" s="4"/>
      <c r="C19" s="4"/>
    </row>
    <row r="20" spans="1:3" s="2" customFormat="1" ht="24.75" customHeight="1" x14ac:dyDescent="0.2">
      <c r="A20" s="19" t="s">
        <v>1</v>
      </c>
      <c r="B20" s="32" t="s">
        <v>20</v>
      </c>
      <c r="C20" s="31" t="s">
        <v>19</v>
      </c>
    </row>
    <row r="21" spans="1:3" s="2" customFormat="1" ht="16.5" customHeight="1" x14ac:dyDescent="0.2">
      <c r="A21" s="31">
        <v>1</v>
      </c>
      <c r="B21" s="32">
        <v>2</v>
      </c>
      <c r="C21" s="31">
        <v>3</v>
      </c>
    </row>
    <row r="22" spans="1:3" s="145" customFormat="1" ht="32.25" customHeight="1" x14ac:dyDescent="0.25">
      <c r="A22" s="143" t="s">
        <v>18</v>
      </c>
      <c r="B22" s="24" t="s">
        <v>259</v>
      </c>
      <c r="C22" s="144" t="s">
        <v>459</v>
      </c>
    </row>
    <row r="23" spans="1:3" s="146" customFormat="1" ht="31.5" x14ac:dyDescent="0.25">
      <c r="A23" s="143" t="s">
        <v>17</v>
      </c>
      <c r="B23" s="20" t="s">
        <v>14</v>
      </c>
      <c r="C23" s="19" t="s">
        <v>460</v>
      </c>
    </row>
    <row r="24" spans="1:3" s="146" customFormat="1" ht="118.5" customHeight="1" x14ac:dyDescent="0.25">
      <c r="A24" s="143" t="s">
        <v>16</v>
      </c>
      <c r="B24" s="88" t="s">
        <v>272</v>
      </c>
      <c r="C24" s="19" t="s">
        <v>442</v>
      </c>
    </row>
    <row r="25" spans="1:3" s="146" customFormat="1" ht="38.25" customHeight="1" x14ac:dyDescent="0.25">
      <c r="A25" s="143" t="s">
        <v>15</v>
      </c>
      <c r="B25" s="88" t="s">
        <v>273</v>
      </c>
      <c r="C25" s="163" t="s">
        <v>461</v>
      </c>
    </row>
    <row r="26" spans="1:3" s="146" customFormat="1" ht="33" customHeight="1" x14ac:dyDescent="0.25">
      <c r="A26" s="143" t="s">
        <v>13</v>
      </c>
      <c r="B26" s="20" t="s">
        <v>150</v>
      </c>
      <c r="C26" s="19" t="s">
        <v>462</v>
      </c>
    </row>
    <row r="27" spans="1:3" s="146" customFormat="1" ht="78.75" x14ac:dyDescent="0.25">
      <c r="A27" s="143" t="s">
        <v>12</v>
      </c>
      <c r="B27" s="20" t="s">
        <v>260</v>
      </c>
      <c r="C27" s="19" t="s">
        <v>475</v>
      </c>
    </row>
    <row r="28" spans="1:3" s="146" customFormat="1" ht="27.75" customHeight="1" x14ac:dyDescent="0.25">
      <c r="A28" s="143" t="s">
        <v>10</v>
      </c>
      <c r="B28" s="20" t="s">
        <v>11</v>
      </c>
      <c r="C28" s="230">
        <f>VLOOKUP($A$12,'[1]6.2. отчет'!$D:$OP,399,0)</f>
        <v>2018</v>
      </c>
    </row>
    <row r="29" spans="1:3" s="146" customFormat="1" ht="22.5" customHeight="1" x14ac:dyDescent="0.25">
      <c r="A29" s="143" t="s">
        <v>8</v>
      </c>
      <c r="B29" s="19" t="s">
        <v>9</v>
      </c>
      <c r="C29" s="230">
        <f>VLOOKUP($A$12,'[1]6.2. отчет'!$D:$OP,402,0)</f>
        <v>2019</v>
      </c>
    </row>
    <row r="30" spans="1:3" s="146" customFormat="1" ht="24.75" customHeight="1" x14ac:dyDescent="0.25">
      <c r="A30" s="143" t="s">
        <v>26</v>
      </c>
      <c r="B30" s="19" t="s">
        <v>7</v>
      </c>
      <c r="C30" s="230" t="str">
        <f>VLOOKUP($A$12,'[1]6.2. отчет'!$D:$OP,403,0)</f>
        <v>з</v>
      </c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  <row r="67" spans="1:3" x14ac:dyDescent="0.25">
      <c r="A67" s="17"/>
      <c r="B67" s="17"/>
      <c r="C67" s="17"/>
    </row>
    <row r="68" spans="1:3" x14ac:dyDescent="0.25">
      <c r="A68" s="17"/>
      <c r="B68" s="17"/>
      <c r="C68" s="17"/>
    </row>
    <row r="69" spans="1:3" x14ac:dyDescent="0.25">
      <c r="A69" s="17"/>
      <c r="B69" s="17"/>
      <c r="C69" s="17"/>
    </row>
    <row r="70" spans="1:3" x14ac:dyDescent="0.25">
      <c r="A70" s="17"/>
      <c r="B70" s="17"/>
      <c r="C70" s="17"/>
    </row>
    <row r="71" spans="1:3" x14ac:dyDescent="0.25">
      <c r="A71" s="17"/>
      <c r="B71" s="17"/>
      <c r="C71" s="17"/>
    </row>
    <row r="72" spans="1:3" x14ac:dyDescent="0.25">
      <c r="A72" s="17"/>
      <c r="B72" s="17"/>
      <c r="C72" s="17"/>
    </row>
    <row r="73" spans="1:3" x14ac:dyDescent="0.25">
      <c r="A73" s="17"/>
      <c r="B73" s="17"/>
      <c r="C73" s="17"/>
    </row>
    <row r="74" spans="1:3" x14ac:dyDescent="0.25">
      <c r="A74" s="17"/>
      <c r="B74" s="17"/>
      <c r="C74" s="17"/>
    </row>
    <row r="75" spans="1:3" x14ac:dyDescent="0.25">
      <c r="A75" s="17"/>
      <c r="B75" s="17"/>
      <c r="C75" s="17"/>
    </row>
    <row r="76" spans="1:3" x14ac:dyDescent="0.25">
      <c r="A76" s="17"/>
      <c r="B76" s="17"/>
      <c r="C76" s="17"/>
    </row>
    <row r="77" spans="1:3" x14ac:dyDescent="0.25">
      <c r="A77" s="17"/>
      <c r="B77" s="17"/>
      <c r="C77" s="17"/>
    </row>
    <row r="78" spans="1:3" x14ac:dyDescent="0.25">
      <c r="A78" s="17"/>
      <c r="B78" s="17"/>
      <c r="C78" s="17"/>
    </row>
    <row r="79" spans="1:3" x14ac:dyDescent="0.25">
      <c r="A79" s="17"/>
      <c r="B79" s="17"/>
      <c r="C79" s="17"/>
    </row>
    <row r="80" spans="1:3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  <row r="83" spans="1:3" x14ac:dyDescent="0.25">
      <c r="A83" s="17"/>
      <c r="B83" s="17"/>
      <c r="C83" s="17"/>
    </row>
    <row r="84" spans="1:3" x14ac:dyDescent="0.25">
      <c r="A84" s="17"/>
      <c r="B84" s="17"/>
      <c r="C84" s="17"/>
    </row>
    <row r="85" spans="1:3" x14ac:dyDescent="0.25">
      <c r="A85" s="17"/>
      <c r="B85" s="17"/>
      <c r="C85" s="17"/>
    </row>
    <row r="86" spans="1:3" x14ac:dyDescent="0.25">
      <c r="A86" s="17"/>
      <c r="B86" s="17"/>
      <c r="C86" s="17"/>
    </row>
    <row r="87" spans="1:3" x14ac:dyDescent="0.25">
      <c r="A87" s="17"/>
      <c r="B87" s="17"/>
      <c r="C87" s="17"/>
    </row>
    <row r="88" spans="1:3" x14ac:dyDescent="0.25">
      <c r="A88" s="17"/>
      <c r="B88" s="17"/>
      <c r="C88" s="17"/>
    </row>
    <row r="89" spans="1:3" x14ac:dyDescent="0.25">
      <c r="A89" s="17"/>
      <c r="B89" s="17"/>
      <c r="C89" s="17"/>
    </row>
    <row r="90" spans="1:3" x14ac:dyDescent="0.25">
      <c r="A90" s="17"/>
      <c r="B90" s="17"/>
      <c r="C90" s="17"/>
    </row>
    <row r="91" spans="1:3" x14ac:dyDescent="0.25">
      <c r="A91" s="17"/>
      <c r="B91" s="17"/>
      <c r="C91" s="17"/>
    </row>
    <row r="92" spans="1:3" x14ac:dyDescent="0.25">
      <c r="A92" s="17"/>
      <c r="B92" s="17"/>
      <c r="C92" s="17"/>
    </row>
    <row r="93" spans="1:3" x14ac:dyDescent="0.25">
      <c r="A93" s="17"/>
      <c r="B93" s="17"/>
      <c r="C93" s="17"/>
    </row>
    <row r="94" spans="1:3" x14ac:dyDescent="0.25">
      <c r="A94" s="17"/>
      <c r="B94" s="17"/>
      <c r="C94" s="17"/>
    </row>
    <row r="95" spans="1:3" x14ac:dyDescent="0.25">
      <c r="A95" s="17"/>
      <c r="B95" s="17"/>
      <c r="C95" s="17"/>
    </row>
    <row r="96" spans="1:3" x14ac:dyDescent="0.25">
      <c r="A96" s="17"/>
      <c r="B96" s="17"/>
      <c r="C96" s="17"/>
    </row>
    <row r="97" spans="1:3" x14ac:dyDescent="0.25">
      <c r="A97" s="17"/>
      <c r="B97" s="17"/>
      <c r="C97" s="17"/>
    </row>
    <row r="98" spans="1:3" x14ac:dyDescent="0.25">
      <c r="A98" s="17"/>
      <c r="B98" s="17"/>
      <c r="C98" s="17"/>
    </row>
    <row r="99" spans="1:3" x14ac:dyDescent="0.25">
      <c r="A99" s="17"/>
      <c r="B99" s="17"/>
      <c r="C99" s="17"/>
    </row>
    <row r="100" spans="1:3" x14ac:dyDescent="0.25">
      <c r="A100" s="17"/>
      <c r="B100" s="17"/>
      <c r="C100" s="17"/>
    </row>
    <row r="101" spans="1:3" x14ac:dyDescent="0.25">
      <c r="A101" s="17"/>
      <c r="B101" s="17"/>
      <c r="C101" s="17"/>
    </row>
    <row r="102" spans="1:3" x14ac:dyDescent="0.25">
      <c r="A102" s="17"/>
      <c r="B102" s="17"/>
      <c r="C102" s="17"/>
    </row>
    <row r="103" spans="1:3" x14ac:dyDescent="0.25">
      <c r="A103" s="17"/>
      <c r="B103" s="17"/>
      <c r="C103" s="17"/>
    </row>
    <row r="104" spans="1:3" x14ac:dyDescent="0.25">
      <c r="A104" s="17"/>
      <c r="B104" s="17"/>
      <c r="C104" s="17"/>
    </row>
    <row r="105" spans="1:3" x14ac:dyDescent="0.25">
      <c r="A105" s="17"/>
      <c r="B105" s="17"/>
      <c r="C105" s="17"/>
    </row>
    <row r="106" spans="1:3" x14ac:dyDescent="0.25">
      <c r="A106" s="17"/>
      <c r="B106" s="17"/>
      <c r="C106" s="17"/>
    </row>
    <row r="107" spans="1:3" x14ac:dyDescent="0.25">
      <c r="A107" s="17"/>
      <c r="B107" s="17"/>
      <c r="C107" s="17"/>
    </row>
    <row r="108" spans="1:3" x14ac:dyDescent="0.25">
      <c r="A108" s="17"/>
      <c r="B108" s="17"/>
      <c r="C108" s="17"/>
    </row>
    <row r="109" spans="1:3" x14ac:dyDescent="0.25">
      <c r="A109" s="17"/>
      <c r="B109" s="17"/>
      <c r="C109" s="17"/>
    </row>
    <row r="110" spans="1:3" x14ac:dyDescent="0.25">
      <c r="A110" s="17"/>
      <c r="B110" s="17"/>
      <c r="C110" s="17"/>
    </row>
    <row r="111" spans="1:3" x14ac:dyDescent="0.25">
      <c r="A111" s="17"/>
      <c r="B111" s="17"/>
      <c r="C111" s="17"/>
    </row>
    <row r="112" spans="1:3" x14ac:dyDescent="0.25">
      <c r="A112" s="17"/>
      <c r="B112" s="17"/>
      <c r="C112" s="17"/>
    </row>
    <row r="113" spans="1:3" x14ac:dyDescent="0.25">
      <c r="A113" s="17"/>
      <c r="B113" s="17"/>
      <c r="C113" s="17"/>
    </row>
    <row r="114" spans="1:3" x14ac:dyDescent="0.25">
      <c r="A114" s="17"/>
      <c r="B114" s="17"/>
      <c r="C114" s="17"/>
    </row>
    <row r="115" spans="1:3" x14ac:dyDescent="0.25">
      <c r="A115" s="17"/>
      <c r="B115" s="17"/>
      <c r="C115" s="17"/>
    </row>
    <row r="116" spans="1:3" x14ac:dyDescent="0.25">
      <c r="A116" s="17"/>
      <c r="B116" s="17"/>
      <c r="C116" s="17"/>
    </row>
    <row r="117" spans="1:3" x14ac:dyDescent="0.25">
      <c r="A117" s="17"/>
      <c r="B117" s="17"/>
      <c r="C117" s="17"/>
    </row>
    <row r="118" spans="1:3" x14ac:dyDescent="0.25">
      <c r="A118" s="17"/>
      <c r="B118" s="17"/>
      <c r="C118" s="17"/>
    </row>
    <row r="119" spans="1:3" x14ac:dyDescent="0.25">
      <c r="A119" s="17"/>
      <c r="B119" s="17"/>
      <c r="C119" s="17"/>
    </row>
    <row r="120" spans="1:3" x14ac:dyDescent="0.25">
      <c r="A120" s="17"/>
      <c r="B120" s="17"/>
      <c r="C120" s="17"/>
    </row>
    <row r="121" spans="1:3" x14ac:dyDescent="0.25">
      <c r="A121" s="17"/>
      <c r="B121" s="17"/>
      <c r="C121" s="17"/>
    </row>
    <row r="122" spans="1:3" x14ac:dyDescent="0.25">
      <c r="A122" s="17"/>
      <c r="B122" s="17"/>
      <c r="C122" s="17"/>
    </row>
    <row r="123" spans="1:3" x14ac:dyDescent="0.25">
      <c r="A123" s="17"/>
      <c r="B123" s="17"/>
      <c r="C123" s="17"/>
    </row>
    <row r="124" spans="1:3" x14ac:dyDescent="0.25">
      <c r="A124" s="17"/>
      <c r="B124" s="17"/>
      <c r="C124" s="17"/>
    </row>
    <row r="125" spans="1:3" x14ac:dyDescent="0.25">
      <c r="A125" s="17"/>
      <c r="B125" s="17"/>
      <c r="C125" s="17"/>
    </row>
    <row r="126" spans="1:3" x14ac:dyDescent="0.25">
      <c r="A126" s="17"/>
      <c r="B126" s="17"/>
      <c r="C126" s="17"/>
    </row>
    <row r="127" spans="1:3" x14ac:dyDescent="0.25">
      <c r="A127" s="17"/>
      <c r="B127" s="17"/>
      <c r="C127" s="17"/>
    </row>
    <row r="128" spans="1:3" x14ac:dyDescent="0.25">
      <c r="A128" s="17"/>
      <c r="B128" s="17"/>
      <c r="C128" s="17"/>
    </row>
    <row r="129" spans="1:3" x14ac:dyDescent="0.25">
      <c r="A129" s="17"/>
      <c r="B129" s="17"/>
      <c r="C129" s="17"/>
    </row>
    <row r="130" spans="1:3" x14ac:dyDescent="0.25">
      <c r="A130" s="17"/>
      <c r="B130" s="17"/>
      <c r="C130" s="17"/>
    </row>
    <row r="131" spans="1:3" x14ac:dyDescent="0.25">
      <c r="A131" s="17"/>
      <c r="B131" s="17"/>
      <c r="C131" s="17"/>
    </row>
    <row r="132" spans="1:3" x14ac:dyDescent="0.25">
      <c r="A132" s="17"/>
      <c r="B132" s="17"/>
      <c r="C132" s="17"/>
    </row>
    <row r="133" spans="1:3" x14ac:dyDescent="0.25">
      <c r="A133" s="17"/>
      <c r="B133" s="17"/>
      <c r="C133" s="17"/>
    </row>
    <row r="134" spans="1:3" x14ac:dyDescent="0.25">
      <c r="A134" s="17"/>
      <c r="B134" s="17"/>
      <c r="C134" s="17"/>
    </row>
    <row r="135" spans="1:3" x14ac:dyDescent="0.25">
      <c r="A135" s="17"/>
      <c r="B135" s="17"/>
      <c r="C135" s="17"/>
    </row>
    <row r="136" spans="1:3" x14ac:dyDescent="0.25">
      <c r="A136" s="17"/>
      <c r="B136" s="17"/>
      <c r="C136" s="17"/>
    </row>
    <row r="137" spans="1:3" x14ac:dyDescent="0.25">
      <c r="A137" s="17"/>
      <c r="B137" s="17"/>
      <c r="C137" s="17"/>
    </row>
    <row r="138" spans="1:3" x14ac:dyDescent="0.25">
      <c r="A138" s="17"/>
      <c r="B138" s="17"/>
      <c r="C138" s="17"/>
    </row>
    <row r="139" spans="1:3" x14ac:dyDescent="0.25">
      <c r="A139" s="17"/>
      <c r="B139" s="17"/>
      <c r="C139" s="17"/>
    </row>
    <row r="140" spans="1:3" x14ac:dyDescent="0.25">
      <c r="A140" s="17"/>
      <c r="B140" s="17"/>
      <c r="C140" s="17"/>
    </row>
    <row r="141" spans="1:3" x14ac:dyDescent="0.25">
      <c r="A141" s="17"/>
      <c r="B141" s="17"/>
      <c r="C141" s="17"/>
    </row>
    <row r="142" spans="1:3" x14ac:dyDescent="0.25">
      <c r="A142" s="17"/>
      <c r="B142" s="17"/>
      <c r="C142" s="17"/>
    </row>
    <row r="143" spans="1:3" x14ac:dyDescent="0.25">
      <c r="A143" s="17"/>
      <c r="B143" s="17"/>
      <c r="C143" s="17"/>
    </row>
    <row r="144" spans="1:3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17"/>
      <c r="B247" s="17"/>
      <c r="C247" s="17"/>
    </row>
    <row r="248" spans="1:3" x14ac:dyDescent="0.25">
      <c r="A248" s="17"/>
      <c r="B248" s="17"/>
      <c r="C248" s="17"/>
    </row>
    <row r="249" spans="1:3" x14ac:dyDescent="0.25">
      <c r="A249" s="17"/>
      <c r="B249" s="17"/>
      <c r="C249" s="17"/>
    </row>
    <row r="250" spans="1:3" x14ac:dyDescent="0.25">
      <c r="A250" s="17"/>
      <c r="B250" s="17"/>
      <c r="C250" s="17"/>
    </row>
    <row r="251" spans="1:3" x14ac:dyDescent="0.25">
      <c r="A251" s="17"/>
      <c r="B251" s="17"/>
      <c r="C251" s="17"/>
    </row>
    <row r="252" spans="1:3" x14ac:dyDescent="0.25">
      <c r="A252" s="17"/>
      <c r="B252" s="17"/>
      <c r="C252" s="17"/>
    </row>
    <row r="253" spans="1:3" x14ac:dyDescent="0.25">
      <c r="A253" s="17"/>
      <c r="B253" s="17"/>
      <c r="C253" s="17"/>
    </row>
    <row r="254" spans="1:3" x14ac:dyDescent="0.25">
      <c r="A254" s="17"/>
      <c r="B254" s="17"/>
      <c r="C254" s="17"/>
    </row>
    <row r="255" spans="1:3" x14ac:dyDescent="0.25">
      <c r="A255" s="17"/>
      <c r="B255" s="17"/>
      <c r="C255" s="17"/>
    </row>
    <row r="256" spans="1:3" x14ac:dyDescent="0.25">
      <c r="A256" s="17"/>
      <c r="B256" s="17"/>
      <c r="C256" s="17"/>
    </row>
    <row r="257" spans="1:3" x14ac:dyDescent="0.25">
      <c r="A257" s="17"/>
      <c r="B257" s="17"/>
      <c r="C257" s="17"/>
    </row>
    <row r="258" spans="1:3" x14ac:dyDescent="0.25">
      <c r="A258" s="17"/>
      <c r="B258" s="17"/>
      <c r="C258" s="17"/>
    </row>
    <row r="259" spans="1:3" x14ac:dyDescent="0.25">
      <c r="A259" s="17"/>
      <c r="B259" s="17"/>
      <c r="C259" s="17"/>
    </row>
    <row r="260" spans="1:3" x14ac:dyDescent="0.25">
      <c r="A260" s="17"/>
      <c r="B260" s="17"/>
      <c r="C260" s="17"/>
    </row>
    <row r="261" spans="1:3" x14ac:dyDescent="0.25">
      <c r="A261" s="17"/>
      <c r="B261" s="17"/>
      <c r="C261" s="17"/>
    </row>
    <row r="262" spans="1:3" x14ac:dyDescent="0.25">
      <c r="A262" s="17"/>
      <c r="B262" s="17"/>
      <c r="C262" s="17"/>
    </row>
    <row r="263" spans="1:3" x14ac:dyDescent="0.25">
      <c r="A263" s="17"/>
      <c r="B263" s="17"/>
      <c r="C263" s="17"/>
    </row>
    <row r="264" spans="1:3" x14ac:dyDescent="0.25">
      <c r="A264" s="17"/>
      <c r="B264" s="17"/>
      <c r="C264" s="17"/>
    </row>
    <row r="265" spans="1:3" x14ac:dyDescent="0.25">
      <c r="A265" s="17"/>
      <c r="B265" s="17"/>
      <c r="C265" s="17"/>
    </row>
    <row r="266" spans="1:3" x14ac:dyDescent="0.25">
      <c r="A266" s="17"/>
      <c r="B266" s="17"/>
      <c r="C266" s="17"/>
    </row>
    <row r="267" spans="1:3" x14ac:dyDescent="0.25">
      <c r="A267" s="17"/>
      <c r="B267" s="17"/>
      <c r="C267" s="17"/>
    </row>
    <row r="268" spans="1:3" x14ac:dyDescent="0.25">
      <c r="A268" s="17"/>
      <c r="B268" s="17"/>
      <c r="C268" s="17"/>
    </row>
    <row r="269" spans="1:3" x14ac:dyDescent="0.25">
      <c r="A269" s="17"/>
      <c r="B269" s="17"/>
      <c r="C269" s="17"/>
    </row>
    <row r="270" spans="1:3" x14ac:dyDescent="0.25">
      <c r="A270" s="17"/>
      <c r="B270" s="17"/>
      <c r="C270" s="17"/>
    </row>
    <row r="271" spans="1:3" x14ac:dyDescent="0.25">
      <c r="A271" s="17"/>
      <c r="B271" s="17"/>
      <c r="C271" s="17"/>
    </row>
    <row r="272" spans="1:3" x14ac:dyDescent="0.25">
      <c r="A272" s="17"/>
      <c r="B272" s="17"/>
      <c r="C272" s="17"/>
    </row>
    <row r="273" spans="1:3" x14ac:dyDescent="0.25">
      <c r="A273" s="17"/>
      <c r="B273" s="17"/>
      <c r="C273" s="17"/>
    </row>
    <row r="274" spans="1:3" x14ac:dyDescent="0.25">
      <c r="A274" s="17"/>
      <c r="B274" s="17"/>
      <c r="C274" s="17"/>
    </row>
    <row r="275" spans="1:3" x14ac:dyDescent="0.25">
      <c r="A275" s="17"/>
      <c r="B275" s="17"/>
      <c r="C275" s="17"/>
    </row>
    <row r="276" spans="1:3" x14ac:dyDescent="0.25">
      <c r="A276" s="17"/>
      <c r="B276" s="17"/>
      <c r="C276" s="17"/>
    </row>
    <row r="277" spans="1:3" x14ac:dyDescent="0.25">
      <c r="A277" s="17"/>
      <c r="B277" s="17"/>
      <c r="C277" s="17"/>
    </row>
    <row r="278" spans="1:3" x14ac:dyDescent="0.25">
      <c r="A278" s="17"/>
      <c r="B278" s="17"/>
      <c r="C278" s="17"/>
    </row>
    <row r="279" spans="1:3" x14ac:dyDescent="0.25">
      <c r="A279" s="17"/>
      <c r="B279" s="17"/>
      <c r="C279" s="17"/>
    </row>
    <row r="280" spans="1:3" x14ac:dyDescent="0.25">
      <c r="A280" s="17"/>
      <c r="B280" s="17"/>
      <c r="C280" s="17"/>
    </row>
    <row r="281" spans="1:3" x14ac:dyDescent="0.25">
      <c r="A281" s="17"/>
      <c r="B281" s="17"/>
      <c r="C281" s="17"/>
    </row>
    <row r="282" spans="1:3" x14ac:dyDescent="0.25">
      <c r="A282" s="17"/>
      <c r="B282" s="17"/>
      <c r="C282" s="17"/>
    </row>
    <row r="283" spans="1:3" x14ac:dyDescent="0.25">
      <c r="A283" s="17"/>
      <c r="B283" s="17"/>
      <c r="C283" s="17"/>
    </row>
    <row r="284" spans="1:3" x14ac:dyDescent="0.25">
      <c r="A284" s="17"/>
      <c r="B284" s="17"/>
      <c r="C284" s="17"/>
    </row>
    <row r="285" spans="1:3" x14ac:dyDescent="0.25">
      <c r="A285" s="17"/>
      <c r="B285" s="17"/>
      <c r="C285" s="17"/>
    </row>
    <row r="286" spans="1:3" x14ac:dyDescent="0.25">
      <c r="A286" s="17"/>
      <c r="B286" s="17"/>
      <c r="C286" s="17"/>
    </row>
    <row r="287" spans="1:3" x14ac:dyDescent="0.25">
      <c r="A287" s="17"/>
      <c r="B287" s="17"/>
      <c r="C287" s="17"/>
    </row>
    <row r="288" spans="1:3" x14ac:dyDescent="0.25">
      <c r="A288" s="17"/>
      <c r="B288" s="17"/>
      <c r="C288" s="17"/>
    </row>
    <row r="289" spans="1:3" x14ac:dyDescent="0.25">
      <c r="A289" s="17"/>
      <c r="B289" s="17"/>
      <c r="C289" s="17"/>
    </row>
    <row r="290" spans="1:3" x14ac:dyDescent="0.25">
      <c r="A290" s="17"/>
      <c r="B290" s="17"/>
      <c r="C290" s="17"/>
    </row>
    <row r="291" spans="1:3" x14ac:dyDescent="0.25">
      <c r="A291" s="17"/>
      <c r="B291" s="17"/>
      <c r="C291" s="17"/>
    </row>
    <row r="292" spans="1:3" x14ac:dyDescent="0.25">
      <c r="A292" s="17"/>
      <c r="B292" s="17"/>
      <c r="C292" s="17"/>
    </row>
    <row r="293" spans="1:3" x14ac:dyDescent="0.25">
      <c r="A293" s="17"/>
      <c r="B293" s="17"/>
      <c r="C293" s="17"/>
    </row>
    <row r="294" spans="1:3" x14ac:dyDescent="0.25">
      <c r="A294" s="17"/>
      <c r="B294" s="17"/>
      <c r="C294" s="17"/>
    </row>
    <row r="295" spans="1:3" x14ac:dyDescent="0.25">
      <c r="A295" s="17"/>
      <c r="B295" s="17"/>
      <c r="C295" s="17"/>
    </row>
    <row r="296" spans="1:3" x14ac:dyDescent="0.25">
      <c r="A296" s="17"/>
      <c r="B296" s="17"/>
      <c r="C296" s="17"/>
    </row>
    <row r="297" spans="1:3" x14ac:dyDescent="0.25">
      <c r="A297" s="17"/>
      <c r="B297" s="17"/>
      <c r="C297" s="17"/>
    </row>
    <row r="298" spans="1:3" x14ac:dyDescent="0.25">
      <c r="A298" s="17"/>
      <c r="B298" s="17"/>
      <c r="C298" s="17"/>
    </row>
    <row r="299" spans="1:3" x14ac:dyDescent="0.25">
      <c r="A299" s="17"/>
      <c r="B299" s="17"/>
      <c r="C299" s="17"/>
    </row>
    <row r="300" spans="1:3" x14ac:dyDescent="0.25">
      <c r="A300" s="17"/>
      <c r="B300" s="17"/>
      <c r="C300" s="17"/>
    </row>
    <row r="301" spans="1:3" x14ac:dyDescent="0.25">
      <c r="A301" s="17"/>
      <c r="B301" s="17"/>
      <c r="C301" s="17"/>
    </row>
    <row r="302" spans="1:3" x14ac:dyDescent="0.25">
      <c r="A302" s="17"/>
      <c r="B302" s="17"/>
      <c r="C302" s="17"/>
    </row>
    <row r="303" spans="1:3" x14ac:dyDescent="0.25">
      <c r="A303" s="17"/>
      <c r="B303" s="17"/>
      <c r="C303" s="17"/>
    </row>
    <row r="304" spans="1:3" x14ac:dyDescent="0.25">
      <c r="A304" s="17"/>
      <c r="B304" s="17"/>
      <c r="C304" s="17"/>
    </row>
    <row r="305" spans="1:3" x14ac:dyDescent="0.25">
      <c r="A305" s="17"/>
      <c r="B305" s="17"/>
      <c r="C305" s="17"/>
    </row>
    <row r="306" spans="1:3" x14ac:dyDescent="0.25">
      <c r="A306" s="17"/>
      <c r="B306" s="17"/>
      <c r="C306" s="17"/>
    </row>
    <row r="307" spans="1:3" x14ac:dyDescent="0.25">
      <c r="A307" s="17"/>
      <c r="B307" s="17"/>
      <c r="C307" s="17"/>
    </row>
    <row r="308" spans="1:3" x14ac:dyDescent="0.25">
      <c r="A308" s="17"/>
      <c r="B308" s="17"/>
      <c r="C308" s="17"/>
    </row>
    <row r="309" spans="1:3" x14ac:dyDescent="0.25">
      <c r="A309" s="17"/>
      <c r="B309" s="17"/>
      <c r="C309" s="17"/>
    </row>
    <row r="310" spans="1:3" x14ac:dyDescent="0.25">
      <c r="A310" s="17"/>
      <c r="B310" s="17"/>
      <c r="C310" s="17"/>
    </row>
    <row r="311" spans="1:3" x14ac:dyDescent="0.25">
      <c r="A311" s="17"/>
      <c r="B311" s="17"/>
      <c r="C311" s="17"/>
    </row>
    <row r="312" spans="1:3" x14ac:dyDescent="0.25">
      <c r="A312" s="17"/>
      <c r="B312" s="17"/>
      <c r="C312" s="17"/>
    </row>
    <row r="313" spans="1:3" x14ac:dyDescent="0.25">
      <c r="A313" s="17"/>
      <c r="B313" s="17"/>
      <c r="C313" s="17"/>
    </row>
    <row r="314" spans="1:3" x14ac:dyDescent="0.25">
      <c r="A314" s="17"/>
      <c r="B314" s="17"/>
      <c r="C314" s="17"/>
    </row>
    <row r="315" spans="1:3" x14ac:dyDescent="0.25">
      <c r="A315" s="17"/>
      <c r="B315" s="17"/>
      <c r="C315" s="17"/>
    </row>
    <row r="316" spans="1:3" x14ac:dyDescent="0.25">
      <c r="A316" s="17"/>
      <c r="B316" s="17"/>
      <c r="C316" s="17"/>
    </row>
    <row r="317" spans="1:3" x14ac:dyDescent="0.25">
      <c r="A317" s="17"/>
      <c r="B317" s="17"/>
      <c r="C317" s="17"/>
    </row>
    <row r="318" spans="1:3" x14ac:dyDescent="0.25">
      <c r="A318" s="17"/>
      <c r="B318" s="17"/>
      <c r="C318" s="17"/>
    </row>
    <row r="319" spans="1:3" x14ac:dyDescent="0.25">
      <c r="A319" s="17"/>
      <c r="B319" s="17"/>
      <c r="C319" s="17"/>
    </row>
    <row r="320" spans="1:3" x14ac:dyDescent="0.25">
      <c r="A320" s="17"/>
      <c r="B320" s="17"/>
      <c r="C320" s="17"/>
    </row>
    <row r="321" spans="1:3" x14ac:dyDescent="0.25">
      <c r="A321" s="17"/>
      <c r="B321" s="17"/>
      <c r="C321" s="17"/>
    </row>
    <row r="322" spans="1:3" x14ac:dyDescent="0.25">
      <c r="A322" s="17"/>
      <c r="B322" s="17"/>
      <c r="C322" s="17"/>
    </row>
    <row r="323" spans="1:3" x14ac:dyDescent="0.25">
      <c r="A323" s="17"/>
      <c r="B323" s="17"/>
      <c r="C323" s="17"/>
    </row>
    <row r="324" spans="1:3" x14ac:dyDescent="0.25">
      <c r="A324" s="17"/>
      <c r="B324" s="17"/>
      <c r="C324" s="17"/>
    </row>
    <row r="325" spans="1:3" x14ac:dyDescent="0.25">
      <c r="A325" s="17"/>
      <c r="B325" s="17"/>
      <c r="C325" s="17"/>
    </row>
    <row r="326" spans="1:3" x14ac:dyDescent="0.25">
      <c r="A326" s="17"/>
      <c r="B326" s="17"/>
      <c r="C326" s="17"/>
    </row>
    <row r="327" spans="1:3" x14ac:dyDescent="0.25">
      <c r="A327" s="17"/>
      <c r="B327" s="17"/>
      <c r="C327" s="17"/>
    </row>
    <row r="328" spans="1:3" x14ac:dyDescent="0.25">
      <c r="A328" s="17"/>
      <c r="B328" s="17"/>
      <c r="C328" s="17"/>
    </row>
    <row r="329" spans="1:3" x14ac:dyDescent="0.25">
      <c r="A329" s="17"/>
      <c r="B329" s="17"/>
      <c r="C329" s="17"/>
    </row>
    <row r="330" spans="1:3" x14ac:dyDescent="0.25">
      <c r="A330" s="17"/>
      <c r="B330" s="17"/>
      <c r="C330" s="17"/>
    </row>
    <row r="331" spans="1:3" x14ac:dyDescent="0.25">
      <c r="A331" s="17"/>
      <c r="B331" s="17"/>
      <c r="C331" s="17"/>
    </row>
    <row r="332" spans="1:3" x14ac:dyDescent="0.25">
      <c r="A332" s="17"/>
      <c r="B332" s="17"/>
      <c r="C332" s="17"/>
    </row>
    <row r="333" spans="1:3" x14ac:dyDescent="0.25">
      <c r="A333" s="17"/>
      <c r="B333" s="17"/>
      <c r="C333" s="17"/>
    </row>
    <row r="334" spans="1:3" x14ac:dyDescent="0.25">
      <c r="A334" s="17"/>
      <c r="B334" s="17"/>
      <c r="C334" s="17"/>
    </row>
    <row r="335" spans="1:3" x14ac:dyDescent="0.25">
      <c r="A335" s="17"/>
      <c r="B335" s="17"/>
      <c r="C335" s="17"/>
    </row>
    <row r="336" spans="1:3" x14ac:dyDescent="0.25">
      <c r="A336" s="17"/>
      <c r="B336" s="17"/>
      <c r="C336" s="17"/>
    </row>
    <row r="337" spans="1:3" x14ac:dyDescent="0.25">
      <c r="A337" s="17"/>
      <c r="B337" s="17"/>
      <c r="C337" s="17"/>
    </row>
    <row r="338" spans="1:3" x14ac:dyDescent="0.25">
      <c r="A338" s="17"/>
      <c r="B338" s="17"/>
      <c r="C338" s="17"/>
    </row>
    <row r="339" spans="1:3" x14ac:dyDescent="0.25">
      <c r="A339" s="17"/>
      <c r="B339" s="17"/>
      <c r="C339" s="17"/>
    </row>
    <row r="340" spans="1:3" x14ac:dyDescent="0.25">
      <c r="A340" s="17"/>
      <c r="B340" s="17"/>
      <c r="C340" s="17"/>
    </row>
    <row r="341" spans="1:3" x14ac:dyDescent="0.25">
      <c r="A341" s="17"/>
      <c r="B341" s="17"/>
      <c r="C341" s="17"/>
    </row>
    <row r="342" spans="1:3" x14ac:dyDescent="0.25">
      <c r="A342" s="17"/>
      <c r="B342" s="17"/>
      <c r="C342" s="17"/>
    </row>
    <row r="343" spans="1:3" x14ac:dyDescent="0.25">
      <c r="A343" s="17"/>
      <c r="B343" s="17"/>
      <c r="C343" s="17"/>
    </row>
    <row r="344" spans="1:3" x14ac:dyDescent="0.25">
      <c r="A344" s="17"/>
      <c r="B344" s="17"/>
      <c r="C344" s="17"/>
    </row>
    <row r="345" spans="1:3" x14ac:dyDescent="0.25">
      <c r="A345" s="17"/>
      <c r="B345" s="17"/>
      <c r="C345" s="17"/>
    </row>
    <row r="346" spans="1:3" x14ac:dyDescent="0.25">
      <c r="A346" s="17"/>
      <c r="B346" s="17"/>
      <c r="C346" s="17"/>
    </row>
    <row r="347" spans="1:3" x14ac:dyDescent="0.25">
      <c r="A347" s="17"/>
      <c r="B347" s="17"/>
      <c r="C347" s="17"/>
    </row>
    <row r="348" spans="1:3" x14ac:dyDescent="0.25">
      <c r="A348" s="17"/>
      <c r="B348" s="17"/>
      <c r="C348" s="17"/>
    </row>
    <row r="349" spans="1:3" x14ac:dyDescent="0.25">
      <c r="A349" s="17"/>
      <c r="B349" s="17"/>
      <c r="C349" s="17"/>
    </row>
    <row r="350" spans="1:3" x14ac:dyDescent="0.25">
      <c r="A350" s="17"/>
      <c r="B350" s="17"/>
      <c r="C350" s="17"/>
    </row>
    <row r="351" spans="1:3" x14ac:dyDescent="0.25">
      <c r="A351" s="17"/>
      <c r="B351" s="17"/>
      <c r="C351" s="17"/>
    </row>
    <row r="352" spans="1:3" x14ac:dyDescent="0.25">
      <c r="A352" s="17"/>
      <c r="B352" s="17"/>
      <c r="C352" s="17"/>
    </row>
    <row r="353" spans="1:3" x14ac:dyDescent="0.25">
      <c r="A353" s="17"/>
      <c r="B353" s="17"/>
      <c r="C353" s="17"/>
    </row>
    <row r="354" spans="1:3" x14ac:dyDescent="0.25">
      <c r="A354" s="17"/>
      <c r="B354" s="17"/>
      <c r="C354" s="17"/>
    </row>
    <row r="355" spans="1:3" x14ac:dyDescent="0.25">
      <c r="A355" s="17"/>
      <c r="B355" s="17"/>
      <c r="C355" s="17"/>
    </row>
    <row r="356" spans="1:3" x14ac:dyDescent="0.25">
      <c r="A356" s="17"/>
      <c r="B356" s="17"/>
      <c r="C356" s="17"/>
    </row>
    <row r="357" spans="1:3" x14ac:dyDescent="0.25">
      <c r="A357" s="17"/>
      <c r="B357" s="17"/>
      <c r="C357" s="17"/>
    </row>
    <row r="358" spans="1:3" x14ac:dyDescent="0.25">
      <c r="A358" s="17"/>
      <c r="B358" s="17"/>
      <c r="C358" s="17"/>
    </row>
    <row r="359" spans="1:3" x14ac:dyDescent="0.25">
      <c r="A359" s="17"/>
      <c r="B359" s="17"/>
      <c r="C359" s="17"/>
    </row>
    <row r="360" spans="1:3" x14ac:dyDescent="0.25">
      <c r="A360" s="17"/>
      <c r="B360" s="17"/>
      <c r="C360" s="17"/>
    </row>
    <row r="361" spans="1:3" x14ac:dyDescent="0.25">
      <c r="A361" s="17"/>
      <c r="B361" s="17"/>
      <c r="C361" s="17"/>
    </row>
    <row r="362" spans="1:3" x14ac:dyDescent="0.25">
      <c r="A362" s="17"/>
      <c r="B362" s="17"/>
      <c r="C362" s="17"/>
    </row>
    <row r="363" spans="1:3" x14ac:dyDescent="0.25">
      <c r="A363" s="17"/>
      <c r="B363" s="17"/>
      <c r="C363" s="17"/>
    </row>
    <row r="364" spans="1:3" x14ac:dyDescent="0.25">
      <c r="A364" s="17"/>
      <c r="B364" s="17"/>
      <c r="C364" s="17"/>
    </row>
    <row r="365" spans="1:3" x14ac:dyDescent="0.25">
      <c r="A365" s="17"/>
      <c r="B365" s="17"/>
      <c r="C365" s="17"/>
    </row>
    <row r="366" spans="1:3" x14ac:dyDescent="0.25">
      <c r="A366" s="17"/>
      <c r="B366" s="17"/>
      <c r="C366" s="17"/>
    </row>
    <row r="367" spans="1:3" x14ac:dyDescent="0.25">
      <c r="A367" s="17"/>
      <c r="B367" s="17"/>
      <c r="C367" s="17"/>
    </row>
    <row r="368" spans="1:3" x14ac:dyDescent="0.25">
      <c r="A368" s="17"/>
      <c r="B368" s="17"/>
      <c r="C368" s="17"/>
    </row>
    <row r="369" spans="1:3" x14ac:dyDescent="0.25">
      <c r="A369" s="17"/>
      <c r="B369" s="17"/>
      <c r="C369" s="17"/>
    </row>
    <row r="370" spans="1:3" x14ac:dyDescent="0.25">
      <c r="A370" s="17"/>
      <c r="B370" s="17"/>
      <c r="C370" s="17"/>
    </row>
    <row r="371" spans="1:3" x14ac:dyDescent="0.25">
      <c r="A371" s="17"/>
      <c r="B371" s="17"/>
      <c r="C371" s="17"/>
    </row>
    <row r="372" spans="1:3" x14ac:dyDescent="0.25">
      <c r="A372" s="17"/>
      <c r="B372" s="17"/>
      <c r="C372" s="17"/>
    </row>
    <row r="373" spans="1:3" x14ac:dyDescent="0.25">
      <c r="A373" s="17"/>
      <c r="B373" s="17"/>
      <c r="C373" s="17"/>
    </row>
    <row r="374" spans="1:3" x14ac:dyDescent="0.25">
      <c r="A374" s="17"/>
      <c r="B374" s="17"/>
      <c r="C374" s="17"/>
    </row>
    <row r="375" spans="1:3" x14ac:dyDescent="0.25">
      <c r="A375" s="17"/>
      <c r="B375" s="17"/>
      <c r="C375" s="17"/>
    </row>
    <row r="376" spans="1:3" x14ac:dyDescent="0.25">
      <c r="A376" s="17"/>
      <c r="B376" s="17"/>
      <c r="C376" s="17"/>
    </row>
    <row r="377" spans="1:3" x14ac:dyDescent="0.25">
      <c r="A377" s="17"/>
      <c r="B377" s="17"/>
      <c r="C377" s="17"/>
    </row>
    <row r="378" spans="1:3" x14ac:dyDescent="0.25">
      <c r="A378" s="17"/>
      <c r="B378" s="17"/>
      <c r="C378" s="17"/>
    </row>
    <row r="379" spans="1:3" x14ac:dyDescent="0.25">
      <c r="A379" s="17"/>
      <c r="B379" s="17"/>
      <c r="C379" s="17"/>
    </row>
    <row r="380" spans="1:3" x14ac:dyDescent="0.25">
      <c r="A380" s="17"/>
      <c r="B380" s="17"/>
      <c r="C380" s="17"/>
    </row>
    <row r="381" spans="1:3" x14ac:dyDescent="0.25">
      <c r="A381" s="17"/>
      <c r="B381" s="17"/>
      <c r="C381" s="17"/>
    </row>
    <row r="382" spans="1:3" x14ac:dyDescent="0.25">
      <c r="A382" s="17"/>
      <c r="B382" s="17"/>
      <c r="C382" s="17"/>
    </row>
  </sheetData>
  <mergeCells count="13">
    <mergeCell ref="A11:C11"/>
    <mergeCell ref="A15:C15"/>
    <mergeCell ref="A16:C16"/>
    <mergeCell ref="A17:C17"/>
    <mergeCell ref="A18:C18"/>
    <mergeCell ref="A12:C12"/>
    <mergeCell ref="A13:C13"/>
    <mergeCell ref="A14:C14"/>
    <mergeCell ref="A5:C5"/>
    <mergeCell ref="A7:C7"/>
    <mergeCell ref="A8:C8"/>
    <mergeCell ref="A9:C9"/>
    <mergeCell ref="A10:C10"/>
  </mergeCells>
  <phoneticPr fontId="46" type="noConversion"/>
  <pageMargins left="0.35433070866141736" right="0.27559055118110237" top="0.27559055118110237" bottom="0.31496062992125984" header="0.15748031496062992" footer="0.15748031496062992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topLeftCell="E10" zoomScale="70" zoomScaleNormal="80" zoomScaleSheetLayoutView="70" workbookViewId="0">
      <selection activeCell="E38" sqref="E38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33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10" customFormat="1" ht="15.75" x14ac:dyDescent="0.2">
      <c r="A4" s="246" t="str">
        <f>'1. паспорт местоположение'!$A$5</f>
        <v>Год раскрытия информации: 2019 год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</row>
    <row r="5" spans="1:28" s="10" customFormat="1" ht="15.75" x14ac:dyDescent="0.2">
      <c r="A5" s="15"/>
      <c r="H5" s="14"/>
    </row>
    <row r="6" spans="1:28" s="10" customFormat="1" ht="18.75" x14ac:dyDescent="0.2">
      <c r="A6" s="249" t="s">
        <v>5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</row>
    <row r="7" spans="1:28" s="10" customFormat="1" ht="18.75" x14ac:dyDescent="0.2">
      <c r="A7" s="249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</row>
    <row r="8" spans="1:28" s="10" customFormat="1" ht="18.75" customHeight="1" x14ac:dyDescent="0.2">
      <c r="A8" s="250" t="s">
        <v>294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</row>
    <row r="9" spans="1:28" s="10" customFormat="1" ht="18.75" customHeight="1" x14ac:dyDescent="0.2">
      <c r="A9" s="240" t="s">
        <v>4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</row>
    <row r="10" spans="1:28" s="10" customFormat="1" ht="18.75" x14ac:dyDescent="0.2">
      <c r="A10" s="249"/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</row>
    <row r="11" spans="1:28" s="10" customFormat="1" ht="18.75" customHeight="1" x14ac:dyDescent="0.2">
      <c r="A11" s="250" t="str">
        <f>'1. паспорт местоположение'!A12:C12</f>
        <v>I_Che148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</row>
    <row r="12" spans="1:28" s="10" customFormat="1" ht="18.75" customHeight="1" x14ac:dyDescent="0.2">
      <c r="A12" s="240" t="s">
        <v>3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</row>
    <row r="13" spans="1:28" s="7" customFormat="1" ht="15.75" customHeight="1" x14ac:dyDescent="0.2">
      <c r="A13" s="257"/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</row>
    <row r="14" spans="1:28" s="2" customFormat="1" ht="95.25" customHeight="1" x14ac:dyDescent="0.2">
      <c r="A14" s="266" t="str">
        <f>'1. паспорт местоположение'!A15:C15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</row>
    <row r="15" spans="1:28" s="2" customFormat="1" ht="15" customHeight="1" x14ac:dyDescent="0.2">
      <c r="A15" s="240" t="s">
        <v>2</v>
      </c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</row>
    <row r="16" spans="1:28" s="119" customFormat="1" x14ac:dyDescent="0.25">
      <c r="A16" s="286"/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118"/>
      <c r="AB16" s="118"/>
    </row>
    <row r="17" spans="1:28" s="119" customFormat="1" x14ac:dyDescent="0.25">
      <c r="A17" s="286"/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118"/>
      <c r="AB17" s="118"/>
    </row>
    <row r="18" spans="1:28" s="119" customFormat="1" x14ac:dyDescent="0.25">
      <c r="A18" s="286"/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118"/>
      <c r="AB18" s="118"/>
    </row>
    <row r="19" spans="1:28" x14ac:dyDescent="0.25">
      <c r="A19" s="287"/>
      <c r="B19" s="287"/>
      <c r="C19" s="287"/>
      <c r="D19" s="287"/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  <c r="Z19" s="287"/>
      <c r="AA19" s="120"/>
      <c r="AB19" s="120"/>
    </row>
    <row r="20" spans="1:28" x14ac:dyDescent="0.25">
      <c r="A20" s="286"/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118"/>
      <c r="AB20" s="118"/>
    </row>
    <row r="21" spans="1:28" x14ac:dyDescent="0.25">
      <c r="A21" s="286"/>
      <c r="B21" s="286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118"/>
      <c r="AB21" s="118"/>
    </row>
    <row r="22" spans="1:28" x14ac:dyDescent="0.25">
      <c r="A22" s="288" t="s">
        <v>324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288"/>
      <c r="Z22" s="288"/>
      <c r="AA22" s="121"/>
      <c r="AB22" s="121"/>
    </row>
    <row r="23" spans="1:28" ht="32.25" customHeight="1" x14ac:dyDescent="0.25">
      <c r="A23" s="282" t="s">
        <v>325</v>
      </c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84"/>
      <c r="M23" s="285" t="s">
        <v>326</v>
      </c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</row>
    <row r="24" spans="1:28" ht="151.5" customHeight="1" x14ac:dyDescent="0.25">
      <c r="A24" s="122" t="s">
        <v>327</v>
      </c>
      <c r="B24" s="123" t="s">
        <v>328</v>
      </c>
      <c r="C24" s="122" t="s">
        <v>329</v>
      </c>
      <c r="D24" s="122" t="s">
        <v>330</v>
      </c>
      <c r="E24" s="122" t="s">
        <v>331</v>
      </c>
      <c r="F24" s="122" t="s">
        <v>332</v>
      </c>
      <c r="G24" s="122" t="s">
        <v>333</v>
      </c>
      <c r="H24" s="122" t="s">
        <v>334</v>
      </c>
      <c r="I24" s="122" t="s">
        <v>335</v>
      </c>
      <c r="J24" s="122" t="s">
        <v>336</v>
      </c>
      <c r="K24" s="123" t="s">
        <v>337</v>
      </c>
      <c r="L24" s="123" t="s">
        <v>338</v>
      </c>
      <c r="M24" s="124" t="s">
        <v>339</v>
      </c>
      <c r="N24" s="123" t="s">
        <v>340</v>
      </c>
      <c r="O24" s="122" t="s">
        <v>341</v>
      </c>
      <c r="P24" s="122" t="s">
        <v>342</v>
      </c>
      <c r="Q24" s="122" t="s">
        <v>343</v>
      </c>
      <c r="R24" s="122" t="s">
        <v>334</v>
      </c>
      <c r="S24" s="122" t="s">
        <v>344</v>
      </c>
      <c r="T24" s="122" t="s">
        <v>345</v>
      </c>
      <c r="U24" s="122" t="s">
        <v>346</v>
      </c>
      <c r="V24" s="122" t="s">
        <v>343</v>
      </c>
      <c r="W24" s="125" t="s">
        <v>347</v>
      </c>
      <c r="X24" s="125" t="s">
        <v>348</v>
      </c>
      <c r="Y24" s="125" t="s">
        <v>349</v>
      </c>
      <c r="Z24" s="126" t="s">
        <v>350</v>
      </c>
    </row>
    <row r="25" spans="1:28" ht="16.5" customHeight="1" x14ac:dyDescent="0.25">
      <c r="A25" s="122">
        <v>1</v>
      </c>
      <c r="B25" s="123">
        <v>2</v>
      </c>
      <c r="C25" s="122">
        <v>3</v>
      </c>
      <c r="D25" s="123">
        <v>4</v>
      </c>
      <c r="E25" s="122">
        <v>5</v>
      </c>
      <c r="F25" s="123">
        <v>6</v>
      </c>
      <c r="G25" s="122">
        <v>7</v>
      </c>
      <c r="H25" s="123">
        <v>8</v>
      </c>
      <c r="I25" s="122">
        <v>9</v>
      </c>
      <c r="J25" s="123">
        <v>10</v>
      </c>
      <c r="K25" s="122">
        <v>11</v>
      </c>
      <c r="L25" s="123">
        <v>12</v>
      </c>
      <c r="M25" s="122">
        <v>13</v>
      </c>
      <c r="N25" s="123">
        <v>14</v>
      </c>
      <c r="O25" s="122">
        <v>15</v>
      </c>
      <c r="P25" s="123">
        <v>16</v>
      </c>
      <c r="Q25" s="122">
        <v>17</v>
      </c>
      <c r="R25" s="123">
        <v>18</v>
      </c>
      <c r="S25" s="122">
        <v>19</v>
      </c>
      <c r="T25" s="123">
        <v>20</v>
      </c>
      <c r="U25" s="122">
        <v>21</v>
      </c>
      <c r="V25" s="123">
        <v>22</v>
      </c>
      <c r="W25" s="122">
        <v>23</v>
      </c>
      <c r="X25" s="123">
        <v>24</v>
      </c>
      <c r="Y25" s="122">
        <v>25</v>
      </c>
      <c r="Z25" s="123">
        <v>26</v>
      </c>
    </row>
    <row r="26" spans="1:28" ht="45.75" customHeight="1" x14ac:dyDescent="0.25">
      <c r="A26" s="127" t="s">
        <v>351</v>
      </c>
      <c r="B26" s="67"/>
      <c r="C26" s="128" t="s">
        <v>352</v>
      </c>
      <c r="D26" s="128" t="s">
        <v>353</v>
      </c>
      <c r="E26" s="128" t="s">
        <v>354</v>
      </c>
      <c r="F26" s="128" t="s">
        <v>355</v>
      </c>
      <c r="G26" s="128" t="s">
        <v>356</v>
      </c>
      <c r="H26" s="128" t="s">
        <v>334</v>
      </c>
      <c r="I26" s="128" t="s">
        <v>357</v>
      </c>
      <c r="J26" s="128" t="s">
        <v>358</v>
      </c>
      <c r="K26" s="129"/>
      <c r="L26" s="130" t="s">
        <v>359</v>
      </c>
      <c r="M26" s="131" t="s">
        <v>291</v>
      </c>
      <c r="N26" s="129" t="s">
        <v>301</v>
      </c>
      <c r="O26" s="129" t="s">
        <v>301</v>
      </c>
      <c r="P26" s="129" t="s">
        <v>301</v>
      </c>
      <c r="Q26" s="129" t="s">
        <v>301</v>
      </c>
      <c r="R26" s="129" t="s">
        <v>301</v>
      </c>
      <c r="S26" s="129" t="s">
        <v>301</v>
      </c>
      <c r="T26" s="129" t="s">
        <v>301</v>
      </c>
      <c r="U26" s="129" t="s">
        <v>301</v>
      </c>
      <c r="V26" s="129" t="s">
        <v>301</v>
      </c>
      <c r="W26" s="129" t="s">
        <v>301</v>
      </c>
      <c r="X26" s="129" t="s">
        <v>301</v>
      </c>
      <c r="Y26" s="129" t="s">
        <v>301</v>
      </c>
      <c r="Z26" s="132" t="s">
        <v>360</v>
      </c>
    </row>
    <row r="27" spans="1:28" x14ac:dyDescent="0.25">
      <c r="A27" s="129" t="s">
        <v>361</v>
      </c>
      <c r="B27" s="129" t="s">
        <v>362</v>
      </c>
      <c r="C27" s="129" t="s">
        <v>301</v>
      </c>
      <c r="D27" s="129" t="s">
        <v>301</v>
      </c>
      <c r="E27" s="129" t="s">
        <v>301</v>
      </c>
      <c r="F27" s="129" t="s">
        <v>301</v>
      </c>
      <c r="G27" s="129" t="s">
        <v>301</v>
      </c>
      <c r="H27" s="129" t="s">
        <v>301</v>
      </c>
      <c r="I27" s="129" t="s">
        <v>301</v>
      </c>
      <c r="J27" s="129" t="s">
        <v>301</v>
      </c>
      <c r="K27" s="130" t="s">
        <v>363</v>
      </c>
      <c r="L27" s="129" t="s">
        <v>301</v>
      </c>
      <c r="M27" s="130" t="s">
        <v>281</v>
      </c>
      <c r="N27" s="129" t="s">
        <v>301</v>
      </c>
      <c r="O27" s="129" t="s">
        <v>301</v>
      </c>
      <c r="P27" s="129" t="s">
        <v>301</v>
      </c>
      <c r="Q27" s="129" t="s">
        <v>301</v>
      </c>
      <c r="R27" s="129" t="s">
        <v>301</v>
      </c>
      <c r="S27" s="129" t="s">
        <v>301</v>
      </c>
      <c r="T27" s="129" t="s">
        <v>301</v>
      </c>
      <c r="U27" s="129" t="s">
        <v>301</v>
      </c>
      <c r="V27" s="129" t="s">
        <v>301</v>
      </c>
      <c r="W27" s="129" t="s">
        <v>301</v>
      </c>
      <c r="X27" s="129" t="s">
        <v>301</v>
      </c>
      <c r="Y27" s="129" t="s">
        <v>301</v>
      </c>
      <c r="Z27" s="129" t="s">
        <v>301</v>
      </c>
    </row>
    <row r="28" spans="1:28" x14ac:dyDescent="0.25">
      <c r="A28" s="129" t="s">
        <v>361</v>
      </c>
      <c r="B28" s="129" t="s">
        <v>364</v>
      </c>
      <c r="C28" s="129" t="s">
        <v>301</v>
      </c>
      <c r="D28" s="129" t="s">
        <v>301</v>
      </c>
      <c r="E28" s="129" t="s">
        <v>301</v>
      </c>
      <c r="F28" s="129" t="s">
        <v>301</v>
      </c>
      <c r="G28" s="129" t="s">
        <v>301</v>
      </c>
      <c r="H28" s="129" t="s">
        <v>301</v>
      </c>
      <c r="I28" s="129" t="s">
        <v>301</v>
      </c>
      <c r="J28" s="129" t="s">
        <v>301</v>
      </c>
      <c r="K28" s="130" t="s">
        <v>365</v>
      </c>
      <c r="L28" s="129" t="s">
        <v>301</v>
      </c>
      <c r="M28" s="130" t="s">
        <v>366</v>
      </c>
      <c r="N28" s="129" t="s">
        <v>301</v>
      </c>
      <c r="O28" s="129" t="s">
        <v>301</v>
      </c>
      <c r="P28" s="129" t="s">
        <v>301</v>
      </c>
      <c r="Q28" s="129" t="s">
        <v>301</v>
      </c>
      <c r="R28" s="129" t="s">
        <v>301</v>
      </c>
      <c r="S28" s="129" t="s">
        <v>301</v>
      </c>
      <c r="T28" s="129" t="s">
        <v>301</v>
      </c>
      <c r="U28" s="129" t="s">
        <v>301</v>
      </c>
      <c r="V28" s="129" t="s">
        <v>301</v>
      </c>
      <c r="W28" s="129" t="s">
        <v>301</v>
      </c>
      <c r="X28" s="129" t="s">
        <v>301</v>
      </c>
      <c r="Y28" s="129" t="s">
        <v>301</v>
      </c>
      <c r="Z28" s="129" t="s">
        <v>301</v>
      </c>
    </row>
    <row r="29" spans="1:28" x14ac:dyDescent="0.25">
      <c r="A29" s="129" t="s">
        <v>361</v>
      </c>
      <c r="B29" s="129" t="s">
        <v>367</v>
      </c>
      <c r="C29" s="129" t="s">
        <v>301</v>
      </c>
      <c r="D29" s="129" t="s">
        <v>301</v>
      </c>
      <c r="E29" s="129" t="s">
        <v>301</v>
      </c>
      <c r="F29" s="129" t="s">
        <v>301</v>
      </c>
      <c r="G29" s="129" t="s">
        <v>301</v>
      </c>
      <c r="H29" s="129" t="s">
        <v>301</v>
      </c>
      <c r="I29" s="129" t="s">
        <v>301</v>
      </c>
      <c r="J29" s="129" t="s">
        <v>301</v>
      </c>
      <c r="K29" s="130" t="s">
        <v>368</v>
      </c>
      <c r="L29" s="129" t="s">
        <v>301</v>
      </c>
      <c r="M29" s="129" t="s">
        <v>301</v>
      </c>
      <c r="N29" s="129" t="s">
        <v>301</v>
      </c>
      <c r="O29" s="129" t="s">
        <v>301</v>
      </c>
      <c r="P29" s="129" t="s">
        <v>301</v>
      </c>
      <c r="Q29" s="129" t="s">
        <v>301</v>
      </c>
      <c r="R29" s="129" t="s">
        <v>301</v>
      </c>
      <c r="S29" s="129" t="s">
        <v>301</v>
      </c>
      <c r="T29" s="129" t="s">
        <v>301</v>
      </c>
      <c r="U29" s="129" t="s">
        <v>301</v>
      </c>
      <c r="V29" s="129" t="s">
        <v>301</v>
      </c>
      <c r="W29" s="129" t="s">
        <v>301</v>
      </c>
      <c r="X29" s="129" t="s">
        <v>301</v>
      </c>
      <c r="Y29" s="129" t="s">
        <v>301</v>
      </c>
      <c r="Z29" s="129" t="s">
        <v>301</v>
      </c>
    </row>
    <row r="30" spans="1:28" x14ac:dyDescent="0.25">
      <c r="A30" s="129" t="s">
        <v>361</v>
      </c>
      <c r="B30" s="129" t="s">
        <v>369</v>
      </c>
      <c r="C30" s="129" t="s">
        <v>301</v>
      </c>
      <c r="D30" s="129" t="s">
        <v>301</v>
      </c>
      <c r="E30" s="129" t="s">
        <v>301</v>
      </c>
      <c r="F30" s="129" t="s">
        <v>301</v>
      </c>
      <c r="G30" s="129" t="s">
        <v>301</v>
      </c>
      <c r="H30" s="129" t="s">
        <v>301</v>
      </c>
      <c r="I30" s="129" t="s">
        <v>301</v>
      </c>
      <c r="J30" s="129" t="s">
        <v>301</v>
      </c>
      <c r="K30" s="130" t="s">
        <v>370</v>
      </c>
      <c r="L30" s="129" t="s">
        <v>301</v>
      </c>
      <c r="M30" s="129" t="s">
        <v>301</v>
      </c>
      <c r="N30" s="129" t="s">
        <v>301</v>
      </c>
      <c r="O30" s="129" t="s">
        <v>301</v>
      </c>
      <c r="P30" s="129" t="s">
        <v>301</v>
      </c>
      <c r="Q30" s="129" t="s">
        <v>301</v>
      </c>
      <c r="R30" s="129" t="s">
        <v>301</v>
      </c>
      <c r="S30" s="129" t="s">
        <v>301</v>
      </c>
      <c r="T30" s="129" t="s">
        <v>301</v>
      </c>
      <c r="U30" s="129" t="s">
        <v>301</v>
      </c>
      <c r="V30" s="129" t="s">
        <v>301</v>
      </c>
      <c r="W30" s="129" t="s">
        <v>301</v>
      </c>
      <c r="X30" s="129" t="s">
        <v>301</v>
      </c>
      <c r="Y30" s="129" t="s">
        <v>301</v>
      </c>
      <c r="Z30" s="129" t="s">
        <v>301</v>
      </c>
    </row>
    <row r="31" spans="1:28" x14ac:dyDescent="0.25">
      <c r="A31" s="129" t="s">
        <v>366</v>
      </c>
      <c r="B31" s="129" t="s">
        <v>366</v>
      </c>
      <c r="C31" s="129" t="s">
        <v>366</v>
      </c>
      <c r="D31" s="129" t="s">
        <v>366</v>
      </c>
      <c r="E31" s="129" t="s">
        <v>366</v>
      </c>
      <c r="F31" s="129" t="s">
        <v>366</v>
      </c>
      <c r="G31" s="129" t="s">
        <v>366</v>
      </c>
      <c r="H31" s="129" t="s">
        <v>366</v>
      </c>
      <c r="I31" s="129" t="s">
        <v>366</v>
      </c>
      <c r="J31" s="129" t="s">
        <v>366</v>
      </c>
      <c r="K31" s="129" t="s">
        <v>366</v>
      </c>
      <c r="L31" s="129" t="s">
        <v>301</v>
      </c>
      <c r="M31" s="129" t="s">
        <v>301</v>
      </c>
      <c r="N31" s="129" t="s">
        <v>301</v>
      </c>
      <c r="O31" s="129" t="s">
        <v>301</v>
      </c>
      <c r="P31" s="129" t="s">
        <v>301</v>
      </c>
      <c r="Q31" s="129" t="s">
        <v>301</v>
      </c>
      <c r="R31" s="129" t="s">
        <v>301</v>
      </c>
      <c r="S31" s="129" t="s">
        <v>301</v>
      </c>
      <c r="T31" s="129" t="s">
        <v>301</v>
      </c>
      <c r="U31" s="129" t="s">
        <v>301</v>
      </c>
      <c r="V31" s="129" t="s">
        <v>301</v>
      </c>
      <c r="W31" s="129" t="s">
        <v>301</v>
      </c>
      <c r="X31" s="129" t="s">
        <v>301</v>
      </c>
      <c r="Y31" s="129" t="s">
        <v>301</v>
      </c>
      <c r="Z31" s="129" t="s">
        <v>301</v>
      </c>
    </row>
    <row r="32" spans="1:28" ht="30" x14ac:dyDescent="0.25">
      <c r="A32" s="67" t="s">
        <v>351</v>
      </c>
      <c r="B32" s="67"/>
      <c r="C32" s="128" t="s">
        <v>371</v>
      </c>
      <c r="D32" s="128" t="s">
        <v>372</v>
      </c>
      <c r="E32" s="128" t="s">
        <v>373</v>
      </c>
      <c r="F32" s="128" t="s">
        <v>374</v>
      </c>
      <c r="G32" s="128" t="s">
        <v>375</v>
      </c>
      <c r="H32" s="128" t="s">
        <v>334</v>
      </c>
      <c r="I32" s="128" t="s">
        <v>376</v>
      </c>
      <c r="J32" s="128" t="s">
        <v>377</v>
      </c>
      <c r="K32" s="129"/>
      <c r="L32" s="129" t="s">
        <v>301</v>
      </c>
      <c r="M32" s="129" t="s">
        <v>301</v>
      </c>
      <c r="N32" s="129" t="s">
        <v>301</v>
      </c>
      <c r="O32" s="129" t="s">
        <v>301</v>
      </c>
      <c r="P32" s="129" t="s">
        <v>301</v>
      </c>
      <c r="Q32" s="129" t="s">
        <v>301</v>
      </c>
      <c r="R32" s="129" t="s">
        <v>301</v>
      </c>
      <c r="S32" s="129" t="s">
        <v>301</v>
      </c>
      <c r="T32" s="129" t="s">
        <v>301</v>
      </c>
      <c r="U32" s="129" t="s">
        <v>301</v>
      </c>
      <c r="V32" s="129" t="s">
        <v>301</v>
      </c>
      <c r="W32" s="129" t="s">
        <v>301</v>
      </c>
      <c r="X32" s="129" t="s">
        <v>301</v>
      </c>
      <c r="Y32" s="129" t="s">
        <v>301</v>
      </c>
      <c r="Z32" s="129" t="s">
        <v>301</v>
      </c>
    </row>
    <row r="33" spans="1:26" x14ac:dyDescent="0.25">
      <c r="A33" s="129" t="s">
        <v>366</v>
      </c>
      <c r="B33" s="129" t="s">
        <v>366</v>
      </c>
      <c r="C33" s="129" t="s">
        <v>366</v>
      </c>
      <c r="D33" s="129" t="s">
        <v>366</v>
      </c>
      <c r="E33" s="129" t="s">
        <v>366</v>
      </c>
      <c r="F33" s="129" t="s">
        <v>366</v>
      </c>
      <c r="G33" s="129" t="s">
        <v>366</v>
      </c>
      <c r="H33" s="129" t="s">
        <v>366</v>
      </c>
      <c r="I33" s="129" t="s">
        <v>366</v>
      </c>
      <c r="J33" s="129" t="s">
        <v>366</v>
      </c>
      <c r="K33" s="129" t="s">
        <v>366</v>
      </c>
      <c r="L33" s="129" t="s">
        <v>301</v>
      </c>
      <c r="M33" s="129" t="s">
        <v>301</v>
      </c>
      <c r="N33" s="129" t="s">
        <v>301</v>
      </c>
      <c r="O33" s="129" t="s">
        <v>301</v>
      </c>
      <c r="P33" s="129" t="s">
        <v>301</v>
      </c>
      <c r="Q33" s="129" t="s">
        <v>301</v>
      </c>
      <c r="R33" s="129" t="s">
        <v>301</v>
      </c>
      <c r="S33" s="129" t="s">
        <v>301</v>
      </c>
      <c r="T33" s="129" t="s">
        <v>301</v>
      </c>
      <c r="U33" s="129" t="s">
        <v>301</v>
      </c>
      <c r="V33" s="129" t="s">
        <v>301</v>
      </c>
      <c r="W33" s="129" t="s">
        <v>301</v>
      </c>
      <c r="X33" s="129" t="s">
        <v>301</v>
      </c>
      <c r="Y33" s="129" t="s">
        <v>301</v>
      </c>
      <c r="Z33" s="129" t="s">
        <v>301</v>
      </c>
    </row>
    <row r="37" spans="1:26" x14ac:dyDescent="0.25">
      <c r="A37" s="133"/>
    </row>
  </sheetData>
  <mergeCells count="20">
    <mergeCell ref="A10:T10"/>
    <mergeCell ref="A11:T11"/>
    <mergeCell ref="A12:T12"/>
    <mergeCell ref="A4:T4"/>
    <mergeCell ref="A6:T6"/>
    <mergeCell ref="A7:T7"/>
    <mergeCell ref="A8:T8"/>
    <mergeCell ref="A9:T9"/>
    <mergeCell ref="A13:T13"/>
    <mergeCell ref="A14:T14"/>
    <mergeCell ref="A23:L23"/>
    <mergeCell ref="M23:Z23"/>
    <mergeCell ref="A17:Z17"/>
    <mergeCell ref="A18:Z18"/>
    <mergeCell ref="A19:Z19"/>
    <mergeCell ref="A20:Z20"/>
    <mergeCell ref="A21:Z21"/>
    <mergeCell ref="A22:Z22"/>
    <mergeCell ref="A15:T15"/>
    <mergeCell ref="A16:Z16"/>
  </mergeCells>
  <phoneticPr fontId="46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33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10" customFormat="1" ht="15.75" x14ac:dyDescent="0.2">
      <c r="A6" s="246" t="str">
        <f>'1. паспорт местоположение'!$A$5</f>
        <v>Год раскрытия информации: 2019 год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</row>
    <row r="7" spans="1:20" s="10" customFormat="1" ht="15.75" x14ac:dyDescent="0.2">
      <c r="A7" s="15"/>
      <c r="H7" s="14"/>
    </row>
    <row r="8" spans="1:20" s="10" customFormat="1" ht="18.75" x14ac:dyDescent="0.2">
      <c r="A8" s="249" t="s">
        <v>5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</row>
    <row r="9" spans="1:20" s="10" customFormat="1" ht="18.75" x14ac:dyDescent="0.2">
      <c r="A9" s="249"/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</row>
    <row r="10" spans="1:20" s="10" customFormat="1" ht="18.75" customHeight="1" x14ac:dyDescent="0.2">
      <c r="A10" s="250" t="s">
        <v>294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</row>
    <row r="11" spans="1:20" s="10" customFormat="1" ht="18.75" customHeight="1" x14ac:dyDescent="0.2">
      <c r="A11" s="240" t="s">
        <v>4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</row>
    <row r="12" spans="1:20" s="10" customFormat="1" ht="18.75" x14ac:dyDescent="0.2">
      <c r="A12" s="249"/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</row>
    <row r="13" spans="1:20" s="10" customFormat="1" ht="18.75" customHeight="1" x14ac:dyDescent="0.2">
      <c r="A13" s="250" t="str">
        <f>'1. паспорт местоположение'!A12:C12</f>
        <v>I_Che148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</row>
    <row r="14" spans="1:20" s="10" customFormat="1" ht="18.75" customHeight="1" x14ac:dyDescent="0.2">
      <c r="A14" s="240" t="s">
        <v>3</v>
      </c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</row>
    <row r="15" spans="1:20" s="7" customFormat="1" ht="15.75" customHeight="1" x14ac:dyDescent="0.2">
      <c r="A15" s="257"/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</row>
    <row r="16" spans="1:20" s="2" customFormat="1" ht="91.5" customHeight="1" x14ac:dyDescent="0.2">
      <c r="A16" s="266" t="str">
        <f>'1. паспорт местоположение'!A15:C15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</row>
    <row r="17" spans="1:20" s="2" customFormat="1" ht="15" customHeight="1" x14ac:dyDescent="0.2">
      <c r="A17" s="240" t="s">
        <v>2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</row>
    <row r="18" spans="1:20" ht="96" customHeight="1" x14ac:dyDescent="0.25">
      <c r="A18" s="292" t="s">
        <v>378</v>
      </c>
      <c r="B18" s="292"/>
      <c r="C18" s="292"/>
      <c r="D18" s="292"/>
      <c r="E18" s="292"/>
      <c r="F18" s="292"/>
      <c r="G18" s="292"/>
      <c r="H18" s="292"/>
      <c r="I18" s="292"/>
      <c r="J18" s="292"/>
      <c r="K18" s="292"/>
      <c r="L18" s="292"/>
      <c r="M18" s="292"/>
      <c r="N18" s="292"/>
      <c r="O18" s="292"/>
    </row>
    <row r="19" spans="1:20" ht="15.75" customHeight="1" x14ac:dyDescent="0.25">
      <c r="A19" s="251" t="s">
        <v>1</v>
      </c>
      <c r="B19" s="251" t="s">
        <v>379</v>
      </c>
      <c r="C19" s="251" t="s">
        <v>380</v>
      </c>
      <c r="D19" s="251" t="s">
        <v>381</v>
      </c>
      <c r="E19" s="289" t="s">
        <v>382</v>
      </c>
      <c r="F19" s="290"/>
      <c r="G19" s="290"/>
      <c r="H19" s="290"/>
      <c r="I19" s="291"/>
      <c r="J19" s="289" t="s">
        <v>383</v>
      </c>
      <c r="K19" s="290"/>
      <c r="L19" s="290"/>
      <c r="M19" s="290"/>
      <c r="N19" s="290"/>
      <c r="O19" s="291"/>
    </row>
    <row r="20" spans="1:20" ht="123" customHeight="1" x14ac:dyDescent="0.25">
      <c r="A20" s="251"/>
      <c r="B20" s="251"/>
      <c r="C20" s="251"/>
      <c r="D20" s="251"/>
      <c r="E20" s="115" t="s">
        <v>384</v>
      </c>
      <c r="F20" s="115" t="s">
        <v>385</v>
      </c>
      <c r="G20" s="115" t="s">
        <v>386</v>
      </c>
      <c r="H20" s="115" t="s">
        <v>387</v>
      </c>
      <c r="I20" s="115" t="s">
        <v>388</v>
      </c>
      <c r="J20" s="115" t="s">
        <v>389</v>
      </c>
      <c r="K20" s="115" t="s">
        <v>390</v>
      </c>
      <c r="L20" s="134" t="s">
        <v>391</v>
      </c>
      <c r="M20" s="135" t="s">
        <v>392</v>
      </c>
      <c r="N20" s="135" t="s">
        <v>393</v>
      </c>
      <c r="O20" s="135" t="s">
        <v>394</v>
      </c>
    </row>
    <row r="21" spans="1:20" ht="15.75" x14ac:dyDescent="0.25">
      <c r="A21" s="31">
        <v>1</v>
      </c>
      <c r="B21" s="32">
        <v>2</v>
      </c>
      <c r="C21" s="31">
        <v>3</v>
      </c>
      <c r="D21" s="32">
        <v>4</v>
      </c>
      <c r="E21" s="31">
        <v>5</v>
      </c>
      <c r="F21" s="32">
        <v>6</v>
      </c>
      <c r="G21" s="31">
        <v>7</v>
      </c>
      <c r="H21" s="32">
        <v>8</v>
      </c>
      <c r="I21" s="31">
        <v>9</v>
      </c>
      <c r="J21" s="32">
        <v>10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</row>
    <row r="22" spans="1:20" ht="15.75" x14ac:dyDescent="0.25">
      <c r="A22" s="136" t="s">
        <v>301</v>
      </c>
      <c r="B22" s="136" t="s">
        <v>301</v>
      </c>
      <c r="C22" s="136" t="s">
        <v>301</v>
      </c>
      <c r="D22" s="136" t="s">
        <v>301</v>
      </c>
      <c r="E22" s="136" t="s">
        <v>301</v>
      </c>
      <c r="F22" s="136" t="s">
        <v>301</v>
      </c>
      <c r="G22" s="136" t="s">
        <v>301</v>
      </c>
      <c r="H22" s="136" t="s">
        <v>301</v>
      </c>
      <c r="I22" s="136" t="s">
        <v>301</v>
      </c>
      <c r="J22" s="136" t="s">
        <v>301</v>
      </c>
      <c r="K22" s="136" t="s">
        <v>301</v>
      </c>
      <c r="L22" s="136" t="s">
        <v>301</v>
      </c>
      <c r="M22" s="136" t="s">
        <v>301</v>
      </c>
      <c r="N22" s="136" t="s">
        <v>301</v>
      </c>
      <c r="O22" s="136" t="s">
        <v>301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3:T13"/>
    <mergeCell ref="A14:T14"/>
    <mergeCell ref="A6:T6"/>
    <mergeCell ref="A8:T8"/>
    <mergeCell ref="A9:T9"/>
    <mergeCell ref="A10:T10"/>
    <mergeCell ref="A11:T11"/>
    <mergeCell ref="A12:T12"/>
    <mergeCell ref="A15:T15"/>
    <mergeCell ref="A16:T16"/>
    <mergeCell ref="E19:I19"/>
    <mergeCell ref="J19:O19"/>
    <mergeCell ref="A19:A20"/>
    <mergeCell ref="B19:B20"/>
    <mergeCell ref="C19:C20"/>
    <mergeCell ref="D19:D20"/>
    <mergeCell ref="A17:T17"/>
    <mergeCell ref="A18:O18"/>
  </mergeCells>
  <phoneticPr fontId="46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7" workbookViewId="0">
      <selection activeCell="B24" sqref="B24:E24"/>
    </sheetView>
  </sheetViews>
  <sheetFormatPr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8" ht="18.75" x14ac:dyDescent="0.25">
      <c r="A1" s="93"/>
      <c r="B1" s="14"/>
      <c r="C1" s="14"/>
      <c r="D1" s="14"/>
      <c r="E1" s="14"/>
      <c r="F1" s="94" t="s">
        <v>22</v>
      </c>
    </row>
    <row r="2" spans="1:8" ht="18.75" x14ac:dyDescent="0.3">
      <c r="A2" s="93"/>
      <c r="B2" s="14"/>
      <c r="C2" s="14"/>
      <c r="D2" s="14"/>
      <c r="E2" s="14"/>
      <c r="F2" s="95" t="s">
        <v>6</v>
      </c>
    </row>
    <row r="3" spans="1:8" ht="18.75" x14ac:dyDescent="0.3">
      <c r="A3" s="96"/>
      <c r="B3" s="14"/>
      <c r="C3" s="14"/>
      <c r="D3" s="14"/>
      <c r="E3" s="14"/>
      <c r="F3" s="95" t="s">
        <v>21</v>
      </c>
    </row>
    <row r="4" spans="1:8" ht="15.75" x14ac:dyDescent="0.25">
      <c r="A4" s="96"/>
      <c r="B4" s="14"/>
      <c r="C4" s="14"/>
      <c r="D4" s="14"/>
      <c r="E4" s="14"/>
      <c r="F4" s="14"/>
    </row>
    <row r="5" spans="1:8" ht="15.75" x14ac:dyDescent="0.25">
      <c r="A5" s="246" t="str">
        <f>'1. паспорт местоположение'!$A$5</f>
        <v>Год раскрытия информации: 2019 год</v>
      </c>
      <c r="B5" s="246"/>
      <c r="C5" s="246"/>
      <c r="D5" s="246"/>
      <c r="E5" s="246"/>
      <c r="F5" s="246"/>
    </row>
    <row r="6" spans="1:8" ht="15.75" x14ac:dyDescent="0.25">
      <c r="A6" s="97"/>
      <c r="B6" s="98"/>
      <c r="C6" s="98"/>
      <c r="D6" s="98"/>
      <c r="E6" s="98"/>
      <c r="F6" s="98"/>
    </row>
    <row r="7" spans="1:8" ht="18.75" x14ac:dyDescent="0.25">
      <c r="A7" s="294" t="s">
        <v>5</v>
      </c>
      <c r="B7" s="294"/>
      <c r="C7" s="294"/>
      <c r="D7" s="294"/>
      <c r="E7" s="294"/>
      <c r="F7" s="294"/>
    </row>
    <row r="8" spans="1:8" ht="18.75" x14ac:dyDescent="0.25">
      <c r="A8" s="99"/>
      <c r="B8" s="99"/>
      <c r="C8" s="99"/>
      <c r="D8" s="99"/>
      <c r="E8" s="99"/>
      <c r="F8" s="99"/>
    </row>
    <row r="9" spans="1:8" ht="15.75" x14ac:dyDescent="0.25">
      <c r="A9" s="242" t="s">
        <v>282</v>
      </c>
      <c r="B9" s="242"/>
      <c r="C9" s="242"/>
      <c r="D9" s="242"/>
      <c r="E9" s="242"/>
      <c r="F9" s="242"/>
    </row>
    <row r="10" spans="1:8" ht="15.75" x14ac:dyDescent="0.25">
      <c r="A10" s="293" t="s">
        <v>4</v>
      </c>
      <c r="B10" s="293"/>
      <c r="C10" s="293"/>
      <c r="D10" s="293"/>
      <c r="E10" s="293"/>
      <c r="F10" s="293"/>
    </row>
    <row r="11" spans="1:8" ht="18.75" x14ac:dyDescent="0.25">
      <c r="A11" s="99"/>
      <c r="B11" s="99"/>
      <c r="C11" s="99"/>
      <c r="D11" s="99"/>
      <c r="E11" s="99"/>
      <c r="F11" s="99"/>
    </row>
    <row r="12" spans="1:8" ht="15.75" x14ac:dyDescent="0.25">
      <c r="A12" s="242" t="str">
        <f>'1. паспорт местоположение'!$A$12</f>
        <v>I_Che148</v>
      </c>
      <c r="B12" s="242"/>
      <c r="C12" s="242"/>
      <c r="D12" s="242"/>
      <c r="E12" s="242"/>
      <c r="F12" s="242"/>
    </row>
    <row r="13" spans="1:8" ht="15.75" x14ac:dyDescent="0.25">
      <c r="A13" s="293" t="s">
        <v>3</v>
      </c>
      <c r="B13" s="293"/>
      <c r="C13" s="293"/>
      <c r="D13" s="293"/>
      <c r="E13" s="293"/>
      <c r="F13" s="293"/>
    </row>
    <row r="14" spans="1:8" ht="18.75" x14ac:dyDescent="0.25">
      <c r="A14" s="8"/>
      <c r="B14" s="8"/>
      <c r="C14" s="8"/>
      <c r="D14" s="8"/>
      <c r="E14" s="8"/>
      <c r="F14" s="8"/>
    </row>
    <row r="15" spans="1:8" ht="91.5" customHeight="1" x14ac:dyDescent="0.25">
      <c r="A15" s="241" t="str">
        <f>'1. паспорт местоположение'!$A$15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41"/>
      <c r="C15" s="241"/>
      <c r="D15" s="241"/>
      <c r="E15" s="241"/>
      <c r="F15" s="241"/>
      <c r="G15" s="241"/>
      <c r="H15" s="241"/>
    </row>
    <row r="16" spans="1:8" ht="15.75" x14ac:dyDescent="0.25">
      <c r="A16" s="293" t="s">
        <v>2</v>
      </c>
      <c r="B16" s="293"/>
      <c r="C16" s="293"/>
      <c r="D16" s="293"/>
      <c r="E16" s="293"/>
      <c r="F16" s="293"/>
    </row>
    <row r="17" spans="1:6" ht="18.75" x14ac:dyDescent="0.25">
      <c r="A17" s="100"/>
      <c r="B17" s="100"/>
      <c r="C17" s="100"/>
      <c r="D17" s="100"/>
      <c r="E17" s="100"/>
      <c r="F17" s="100"/>
    </row>
    <row r="18" spans="1:6" ht="18.75" x14ac:dyDescent="0.25">
      <c r="A18" s="298" t="s">
        <v>283</v>
      </c>
      <c r="B18" s="298"/>
      <c r="C18" s="298"/>
      <c r="D18" s="298"/>
      <c r="E18" s="298"/>
      <c r="F18" s="298"/>
    </row>
    <row r="19" spans="1:6" x14ac:dyDescent="0.25">
      <c r="A19" s="101"/>
      <c r="B19" s="101"/>
      <c r="C19" s="101"/>
      <c r="D19" s="101"/>
      <c r="E19" s="101"/>
      <c r="F19" s="101"/>
    </row>
    <row r="20" spans="1:6" ht="15.75" thickBot="1" x14ac:dyDescent="0.3">
      <c r="A20" s="101"/>
      <c r="B20" s="101"/>
      <c r="C20" s="101"/>
      <c r="D20" s="101"/>
      <c r="E20" s="101"/>
      <c r="F20" s="101"/>
    </row>
    <row r="21" spans="1:6" ht="15.75" x14ac:dyDescent="0.25">
      <c r="A21" s="101"/>
      <c r="B21" s="299" t="s">
        <v>284</v>
      </c>
      <c r="C21" s="300"/>
      <c r="D21" s="300"/>
      <c r="E21" s="301"/>
      <c r="F21" s="101"/>
    </row>
    <row r="22" spans="1:6" ht="15.75" x14ac:dyDescent="0.25">
      <c r="A22" s="101"/>
      <c r="B22" s="295" t="s">
        <v>285</v>
      </c>
      <c r="C22" s="296"/>
      <c r="D22" s="296" t="s">
        <v>286</v>
      </c>
      <c r="E22" s="297"/>
      <c r="F22" s="101"/>
    </row>
    <row r="23" spans="1:6" ht="63" x14ac:dyDescent="0.25">
      <c r="A23" s="101"/>
      <c r="B23" s="102" t="s">
        <v>287</v>
      </c>
      <c r="C23" s="103" t="s">
        <v>288</v>
      </c>
      <c r="D23" s="103" t="s">
        <v>289</v>
      </c>
      <c r="E23" s="104" t="s">
        <v>290</v>
      </c>
      <c r="F23" s="101"/>
    </row>
    <row r="24" spans="1:6" ht="15.75" x14ac:dyDescent="0.25">
      <c r="A24" s="101"/>
      <c r="B24" s="105">
        <v>55.366999999999997</v>
      </c>
      <c r="C24" s="107">
        <v>0.19</v>
      </c>
      <c r="D24" s="106">
        <v>10</v>
      </c>
      <c r="E24" s="106">
        <v>15</v>
      </c>
      <c r="F24" s="101"/>
    </row>
    <row r="25" spans="1:6" x14ac:dyDescent="0.25">
      <c r="A25" s="101"/>
      <c r="B25" s="101"/>
      <c r="C25" s="101"/>
      <c r="D25" s="101"/>
      <c r="E25" s="101"/>
      <c r="F25" s="101"/>
    </row>
    <row r="26" spans="1:6" x14ac:dyDescent="0.25">
      <c r="A26" s="101"/>
      <c r="B26" s="101"/>
      <c r="C26" s="101"/>
      <c r="D26" s="101"/>
      <c r="E26" s="101"/>
      <c r="F26" s="101"/>
    </row>
    <row r="27" spans="1:6" x14ac:dyDescent="0.25">
      <c r="A27" s="101"/>
      <c r="B27" s="101"/>
      <c r="C27" s="101"/>
      <c r="D27" s="101"/>
      <c r="E27" s="101"/>
      <c r="F27" s="101"/>
    </row>
    <row r="28" spans="1:6" x14ac:dyDescent="0.25">
      <c r="A28" s="101"/>
      <c r="B28" s="101"/>
      <c r="C28" s="101"/>
      <c r="D28" s="101"/>
      <c r="E28" s="101"/>
      <c r="F28" s="101"/>
    </row>
    <row r="29" spans="1:6" x14ac:dyDescent="0.25">
      <c r="A29" s="101"/>
      <c r="B29" s="101"/>
      <c r="C29" s="101"/>
      <c r="D29" s="101"/>
      <c r="E29" s="101"/>
      <c r="F29" s="101"/>
    </row>
    <row r="30" spans="1:6" x14ac:dyDescent="0.25">
      <c r="A30" s="101"/>
      <c r="B30" s="101"/>
      <c r="C30" s="101"/>
      <c r="D30" s="101"/>
      <c r="E30" s="101"/>
      <c r="F30" s="101"/>
    </row>
    <row r="31" spans="1:6" x14ac:dyDescent="0.25">
      <c r="A31" s="101"/>
      <c r="B31" s="101"/>
      <c r="C31" s="101"/>
      <c r="D31" s="101"/>
      <c r="E31" s="101"/>
      <c r="F31" s="101"/>
    </row>
  </sheetData>
  <mergeCells count="12">
    <mergeCell ref="A15:H15"/>
    <mergeCell ref="B22:C22"/>
    <mergeCell ref="D22:E22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93"/>
  <sheetViews>
    <sheetView view="pageBreakPreview" topLeftCell="A11" zoomScale="70" zoomScaleNormal="100" zoomScaleSheetLayoutView="70" workbookViewId="0">
      <selection activeCell="N31" sqref="N31"/>
    </sheetView>
  </sheetViews>
  <sheetFormatPr defaultColWidth="0" defaultRowHeight="15.75" x14ac:dyDescent="0.25"/>
  <cols>
    <col min="1" max="1" width="9.140625" style="47" customWidth="1"/>
    <col min="2" max="2" width="37.7109375" style="47" customWidth="1"/>
    <col min="3" max="3" width="12.85546875" style="47" bestFit="1" customWidth="1"/>
    <col min="4" max="4" width="12.85546875" style="47" customWidth="1"/>
    <col min="5" max="5" width="13" style="47" customWidth="1"/>
    <col min="6" max="6" width="15.5703125" style="47" customWidth="1"/>
    <col min="7" max="8" width="18.28515625" style="47" customWidth="1"/>
    <col min="9" max="9" width="22.7109375" style="47" customWidth="1"/>
    <col min="10" max="10" width="27.42578125" style="47" customWidth="1"/>
    <col min="11" max="250" width="9.140625" style="47" customWidth="1"/>
    <col min="251" max="251" width="37.7109375" style="47" customWidth="1"/>
    <col min="252" max="252" width="9.140625" style="47" customWidth="1"/>
    <col min="253" max="253" width="12.85546875" style="47" customWidth="1"/>
    <col min="254" max="16384" width="0" style="47" hidden="1"/>
  </cols>
  <sheetData>
    <row r="1" spans="1:42" ht="18.75" x14ac:dyDescent="0.25">
      <c r="J1" s="33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46" t="str">
        <f>'1. паспорт местоположение'!$A$5</f>
        <v>Год раскрытия информации: 2019 год</v>
      </c>
      <c r="B5" s="246"/>
      <c r="C5" s="246"/>
      <c r="D5" s="246"/>
      <c r="E5" s="246"/>
      <c r="F5" s="246"/>
      <c r="G5" s="246"/>
      <c r="H5" s="246"/>
      <c r="I5" s="246"/>
      <c r="J5" s="246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</row>
    <row r="6" spans="1:42" ht="18.75" x14ac:dyDescent="0.3">
      <c r="I6" s="13"/>
    </row>
    <row r="7" spans="1:42" ht="18.75" x14ac:dyDescent="0.25">
      <c r="A7" s="249" t="s">
        <v>5</v>
      </c>
      <c r="B7" s="249"/>
      <c r="C7" s="249"/>
      <c r="D7" s="249"/>
      <c r="E7" s="249"/>
      <c r="F7" s="249"/>
      <c r="G7" s="249"/>
      <c r="H7" s="249"/>
      <c r="I7" s="249"/>
      <c r="J7" s="249"/>
    </row>
    <row r="8" spans="1:42" ht="18.75" x14ac:dyDescent="0.25">
      <c r="A8" s="249"/>
      <c r="B8" s="249"/>
      <c r="C8" s="249"/>
      <c r="D8" s="249"/>
      <c r="E8" s="249"/>
      <c r="F8" s="249"/>
      <c r="G8" s="249"/>
      <c r="H8" s="249"/>
      <c r="I8" s="249"/>
      <c r="J8" s="249"/>
    </row>
    <row r="9" spans="1:42" x14ac:dyDescent="0.25">
      <c r="A9" s="250" t="s">
        <v>282</v>
      </c>
      <c r="B9" s="250"/>
      <c r="C9" s="250"/>
      <c r="D9" s="250"/>
      <c r="E9" s="250"/>
      <c r="F9" s="250"/>
      <c r="G9" s="250"/>
      <c r="H9" s="250"/>
      <c r="I9" s="250"/>
      <c r="J9" s="250"/>
    </row>
    <row r="10" spans="1:42" x14ac:dyDescent="0.25">
      <c r="A10" s="240" t="s">
        <v>4</v>
      </c>
      <c r="B10" s="240"/>
      <c r="C10" s="240"/>
      <c r="D10" s="240"/>
      <c r="E10" s="240"/>
      <c r="F10" s="240"/>
      <c r="G10" s="240"/>
      <c r="H10" s="240"/>
      <c r="I10" s="240"/>
      <c r="J10" s="240"/>
    </row>
    <row r="11" spans="1:42" ht="18.75" x14ac:dyDescent="0.25">
      <c r="A11" s="249"/>
      <c r="B11" s="249"/>
      <c r="C11" s="249"/>
      <c r="D11" s="249"/>
      <c r="E11" s="249"/>
      <c r="F11" s="249"/>
      <c r="G11" s="249"/>
      <c r="H11" s="249"/>
      <c r="I11" s="249"/>
      <c r="J11" s="249"/>
    </row>
    <row r="12" spans="1:42" x14ac:dyDescent="0.25">
      <c r="A12" s="250" t="str">
        <f>'1. паспорт местоположение'!$A$12</f>
        <v>I_Che148</v>
      </c>
      <c r="B12" s="250"/>
      <c r="C12" s="250"/>
      <c r="D12" s="250"/>
      <c r="E12" s="250"/>
      <c r="F12" s="250"/>
      <c r="G12" s="250"/>
      <c r="H12" s="250"/>
      <c r="I12" s="250"/>
      <c r="J12" s="250"/>
    </row>
    <row r="13" spans="1:42" x14ac:dyDescent="0.25">
      <c r="A13" s="240" t="s">
        <v>3</v>
      </c>
      <c r="B13" s="240"/>
      <c r="C13" s="240"/>
      <c r="D13" s="240"/>
      <c r="E13" s="240"/>
      <c r="F13" s="240"/>
      <c r="G13" s="240"/>
      <c r="H13" s="240"/>
      <c r="I13" s="240"/>
      <c r="J13" s="240"/>
    </row>
    <row r="14" spans="1:42" ht="18.75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</row>
    <row r="15" spans="1:42" ht="45.75" customHeight="1" x14ac:dyDescent="0.25">
      <c r="A15" s="266" t="str">
        <f>'1. паспорт местоположение'!$A$15</f>
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66"/>
      <c r="C15" s="266"/>
      <c r="D15" s="266"/>
      <c r="E15" s="266"/>
      <c r="F15" s="266"/>
      <c r="G15" s="266"/>
      <c r="H15" s="266"/>
      <c r="I15" s="266"/>
      <c r="J15" s="266"/>
    </row>
    <row r="16" spans="1:42" x14ac:dyDescent="0.25">
      <c r="A16" s="240" t="s">
        <v>2</v>
      </c>
      <c r="B16" s="240"/>
      <c r="C16" s="240"/>
      <c r="D16" s="240"/>
      <c r="E16" s="240"/>
      <c r="F16" s="240"/>
      <c r="G16" s="240"/>
      <c r="H16" s="240"/>
      <c r="I16" s="240"/>
      <c r="J16" s="240"/>
    </row>
    <row r="17" spans="1:10" ht="15.75" customHeight="1" x14ac:dyDescent="0.25">
      <c r="J17" s="66"/>
    </row>
    <row r="18" spans="1:10" x14ac:dyDescent="0.25">
      <c r="I18" s="65"/>
    </row>
    <row r="19" spans="1:10" ht="15.75" customHeight="1" x14ac:dyDescent="0.25">
      <c r="A19" s="309" t="s">
        <v>257</v>
      </c>
      <c r="B19" s="309"/>
      <c r="C19" s="309"/>
      <c r="D19" s="309"/>
      <c r="E19" s="309"/>
      <c r="F19" s="309"/>
      <c r="G19" s="309"/>
      <c r="H19" s="309"/>
      <c r="I19" s="309"/>
      <c r="J19" s="309"/>
    </row>
    <row r="20" spans="1:10" x14ac:dyDescent="0.25">
      <c r="A20" s="51"/>
      <c r="B20" s="51"/>
      <c r="C20" s="64"/>
      <c r="D20" s="64"/>
      <c r="E20" s="64"/>
      <c r="F20" s="64"/>
      <c r="G20" s="64"/>
      <c r="H20" s="64"/>
      <c r="I20" s="64"/>
      <c r="J20" s="64"/>
    </row>
    <row r="21" spans="1:10" ht="28.5" customHeight="1" x14ac:dyDescent="0.25">
      <c r="A21" s="310" t="s">
        <v>141</v>
      </c>
      <c r="B21" s="310" t="s">
        <v>140</v>
      </c>
      <c r="C21" s="308" t="s">
        <v>202</v>
      </c>
      <c r="D21" s="308"/>
      <c r="E21" s="308"/>
      <c r="F21" s="308"/>
      <c r="G21" s="304" t="s">
        <v>139</v>
      </c>
      <c r="H21" s="305" t="s">
        <v>204</v>
      </c>
      <c r="I21" s="310" t="s">
        <v>138</v>
      </c>
      <c r="J21" s="302" t="s">
        <v>203</v>
      </c>
    </row>
    <row r="22" spans="1:10" ht="45.75" customHeight="1" x14ac:dyDescent="0.25">
      <c r="A22" s="310"/>
      <c r="B22" s="310"/>
      <c r="C22" s="303" t="s">
        <v>0</v>
      </c>
      <c r="D22" s="303"/>
      <c r="E22" s="311" t="s">
        <v>430</v>
      </c>
      <c r="F22" s="312"/>
      <c r="G22" s="304"/>
      <c r="H22" s="306"/>
      <c r="I22" s="310"/>
      <c r="J22" s="302"/>
    </row>
    <row r="23" spans="1:10" ht="34.5" customHeight="1" x14ac:dyDescent="0.25">
      <c r="A23" s="310"/>
      <c r="B23" s="310"/>
      <c r="C23" s="63" t="s">
        <v>137</v>
      </c>
      <c r="D23" s="63" t="s">
        <v>136</v>
      </c>
      <c r="E23" s="63" t="s">
        <v>137</v>
      </c>
      <c r="F23" s="63" t="s">
        <v>136</v>
      </c>
      <c r="G23" s="304"/>
      <c r="H23" s="307"/>
      <c r="I23" s="310"/>
      <c r="J23" s="302"/>
    </row>
    <row r="24" spans="1:10" x14ac:dyDescent="0.25">
      <c r="A24" s="56">
        <v>1</v>
      </c>
      <c r="B24" s="56">
        <v>2</v>
      </c>
      <c r="C24" s="63">
        <v>3</v>
      </c>
      <c r="D24" s="63">
        <v>4</v>
      </c>
      <c r="E24" s="63">
        <v>7</v>
      </c>
      <c r="F24" s="63">
        <v>8</v>
      </c>
      <c r="G24" s="63">
        <v>9</v>
      </c>
      <c r="H24" s="63">
        <v>10</v>
      </c>
      <c r="I24" s="63">
        <v>11</v>
      </c>
      <c r="J24" s="63">
        <v>12</v>
      </c>
    </row>
    <row r="25" spans="1:10" s="153" customFormat="1" ht="31.5" x14ac:dyDescent="0.25">
      <c r="A25" s="149">
        <v>1</v>
      </c>
      <c r="B25" s="150" t="s">
        <v>135</v>
      </c>
      <c r="C25" s="189"/>
      <c r="D25" s="189"/>
      <c r="E25" s="189"/>
      <c r="F25" s="189"/>
      <c r="G25" s="156"/>
      <c r="H25" s="156"/>
      <c r="I25" s="151"/>
      <c r="J25" s="152"/>
    </row>
    <row r="26" spans="1:10" s="153" customFormat="1" ht="21.75" customHeight="1" x14ac:dyDescent="0.25">
      <c r="A26" s="149" t="s">
        <v>134</v>
      </c>
      <c r="B26" s="154" t="s">
        <v>206</v>
      </c>
      <c r="C26" s="189">
        <v>43159</v>
      </c>
      <c r="D26" s="189">
        <v>43159</v>
      </c>
      <c r="E26" s="189">
        <v>43159</v>
      </c>
      <c r="F26" s="189">
        <v>43159</v>
      </c>
      <c r="G26" s="156">
        <v>1</v>
      </c>
      <c r="H26" s="156">
        <v>1</v>
      </c>
      <c r="I26" s="191" t="s">
        <v>301</v>
      </c>
      <c r="J26" s="191" t="s">
        <v>301</v>
      </c>
    </row>
    <row r="27" spans="1:10" s="155" customFormat="1" ht="39" customHeight="1" x14ac:dyDescent="0.25">
      <c r="A27" s="149" t="s">
        <v>133</v>
      </c>
      <c r="B27" s="154" t="s">
        <v>208</v>
      </c>
      <c r="C27" s="190">
        <v>43610</v>
      </c>
      <c r="D27" s="190">
        <v>43610</v>
      </c>
      <c r="E27" s="190"/>
      <c r="F27" s="190"/>
      <c r="G27" s="156">
        <v>0</v>
      </c>
      <c r="H27" s="156"/>
      <c r="I27" s="191" t="s">
        <v>301</v>
      </c>
      <c r="J27" s="191" t="s">
        <v>301</v>
      </c>
    </row>
    <row r="28" spans="1:10" s="155" customFormat="1" ht="56.25" customHeight="1" x14ac:dyDescent="0.25">
      <c r="A28" s="149" t="s">
        <v>207</v>
      </c>
      <c r="B28" s="154" t="s">
        <v>212</v>
      </c>
      <c r="C28" s="190">
        <v>43230</v>
      </c>
      <c r="D28" s="190">
        <v>43230</v>
      </c>
      <c r="E28" s="190">
        <v>43230</v>
      </c>
      <c r="F28" s="190">
        <v>43230</v>
      </c>
      <c r="G28" s="156">
        <v>1</v>
      </c>
      <c r="H28" s="156">
        <v>1</v>
      </c>
      <c r="I28" s="191" t="s">
        <v>301</v>
      </c>
      <c r="J28" s="191" t="s">
        <v>301</v>
      </c>
    </row>
    <row r="29" spans="1:10" s="155" customFormat="1" ht="36" customHeight="1" x14ac:dyDescent="0.25">
      <c r="A29" s="149" t="s">
        <v>132</v>
      </c>
      <c r="B29" s="154" t="s">
        <v>211</v>
      </c>
      <c r="C29" s="190">
        <v>43240</v>
      </c>
      <c r="D29" s="190">
        <v>43240</v>
      </c>
      <c r="E29" s="190">
        <v>43240</v>
      </c>
      <c r="F29" s="190">
        <v>43240</v>
      </c>
      <c r="G29" s="156">
        <v>1</v>
      </c>
      <c r="H29" s="156">
        <v>1</v>
      </c>
      <c r="I29" s="191" t="s">
        <v>301</v>
      </c>
      <c r="J29" s="191" t="s">
        <v>301</v>
      </c>
    </row>
    <row r="30" spans="1:10" s="155" customFormat="1" ht="42" customHeight="1" x14ac:dyDescent="0.25">
      <c r="A30" s="149" t="s">
        <v>131</v>
      </c>
      <c r="B30" s="154" t="s">
        <v>213</v>
      </c>
      <c r="C30" s="190">
        <v>43260</v>
      </c>
      <c r="D30" s="190">
        <v>43260</v>
      </c>
      <c r="E30" s="190">
        <v>43260</v>
      </c>
      <c r="F30" s="190">
        <v>43260</v>
      </c>
      <c r="G30" s="156">
        <v>1</v>
      </c>
      <c r="H30" s="156">
        <v>1</v>
      </c>
      <c r="I30" s="191" t="s">
        <v>301</v>
      </c>
      <c r="J30" s="191" t="s">
        <v>301</v>
      </c>
    </row>
    <row r="31" spans="1:10" s="155" customFormat="1" ht="37.5" customHeight="1" x14ac:dyDescent="0.25">
      <c r="A31" s="149" t="s">
        <v>130</v>
      </c>
      <c r="B31" s="157" t="s">
        <v>209</v>
      </c>
      <c r="C31" s="189">
        <v>43095</v>
      </c>
      <c r="D31" s="189">
        <v>43095</v>
      </c>
      <c r="E31" s="189">
        <v>43095</v>
      </c>
      <c r="F31" s="189">
        <v>43095</v>
      </c>
      <c r="G31" s="156">
        <v>1</v>
      </c>
      <c r="H31" s="156">
        <v>0</v>
      </c>
      <c r="I31" s="191" t="s">
        <v>301</v>
      </c>
      <c r="J31" s="191" t="s">
        <v>301</v>
      </c>
    </row>
    <row r="32" spans="1:10" s="155" customFormat="1" ht="42.75" customHeight="1" x14ac:dyDescent="0.25">
      <c r="A32" s="149" t="s">
        <v>128</v>
      </c>
      <c r="B32" s="157" t="s">
        <v>214</v>
      </c>
      <c r="C32" s="189">
        <v>43404</v>
      </c>
      <c r="D32" s="189">
        <v>43404</v>
      </c>
      <c r="E32" s="189">
        <v>43404</v>
      </c>
      <c r="F32" s="189">
        <v>43404</v>
      </c>
      <c r="G32" s="156">
        <v>1</v>
      </c>
      <c r="H32" s="156">
        <v>1</v>
      </c>
      <c r="I32" s="191" t="s">
        <v>301</v>
      </c>
      <c r="J32" s="191" t="s">
        <v>301</v>
      </c>
    </row>
    <row r="33" spans="1:10" s="155" customFormat="1" ht="50.25" customHeight="1" x14ac:dyDescent="0.25">
      <c r="A33" s="149" t="s">
        <v>225</v>
      </c>
      <c r="B33" s="157" t="s">
        <v>156</v>
      </c>
      <c r="C33" s="189">
        <v>43377</v>
      </c>
      <c r="D33" s="189">
        <v>43377</v>
      </c>
      <c r="E33" s="189">
        <v>43377</v>
      </c>
      <c r="F33" s="189">
        <v>43377</v>
      </c>
      <c r="G33" s="156">
        <v>1</v>
      </c>
      <c r="H33" s="156">
        <v>1</v>
      </c>
      <c r="I33" s="191" t="s">
        <v>301</v>
      </c>
      <c r="J33" s="191" t="s">
        <v>301</v>
      </c>
    </row>
    <row r="34" spans="1:10" s="155" customFormat="1" ht="47.25" customHeight="1" x14ac:dyDescent="0.25">
      <c r="A34" s="149" t="s">
        <v>226</v>
      </c>
      <c r="B34" s="157" t="s">
        <v>218</v>
      </c>
      <c r="C34" s="189" t="s">
        <v>279</v>
      </c>
      <c r="D34" s="189" t="s">
        <v>279</v>
      </c>
      <c r="E34" s="189" t="s">
        <v>279</v>
      </c>
      <c r="F34" s="189" t="s">
        <v>279</v>
      </c>
      <c r="G34" s="191"/>
      <c r="H34" s="191"/>
      <c r="I34" s="191" t="s">
        <v>301</v>
      </c>
      <c r="J34" s="191" t="s">
        <v>301</v>
      </c>
    </row>
    <row r="35" spans="1:10" s="155" customFormat="1" ht="49.5" customHeight="1" x14ac:dyDescent="0.25">
      <c r="A35" s="149" t="s">
        <v>227</v>
      </c>
      <c r="B35" s="157" t="s">
        <v>129</v>
      </c>
      <c r="C35" s="190">
        <v>43396</v>
      </c>
      <c r="D35" s="190">
        <v>43396</v>
      </c>
      <c r="E35" s="190">
        <v>43396</v>
      </c>
      <c r="F35" s="190">
        <v>43396</v>
      </c>
      <c r="G35" s="192">
        <v>1</v>
      </c>
      <c r="H35" s="192">
        <v>1</v>
      </c>
      <c r="I35" s="191" t="s">
        <v>301</v>
      </c>
      <c r="J35" s="191" t="s">
        <v>301</v>
      </c>
    </row>
    <row r="36" spans="1:10" s="153" customFormat="1" ht="37.5" customHeight="1" x14ac:dyDescent="0.25">
      <c r="A36" s="149" t="s">
        <v>228</v>
      </c>
      <c r="B36" s="157" t="s">
        <v>210</v>
      </c>
      <c r="C36" s="190">
        <v>43388</v>
      </c>
      <c r="D36" s="190">
        <v>43388</v>
      </c>
      <c r="E36" s="190">
        <v>43388</v>
      </c>
      <c r="F36" s="190">
        <v>43388</v>
      </c>
      <c r="G36" s="192">
        <v>1</v>
      </c>
      <c r="H36" s="192">
        <v>1</v>
      </c>
      <c r="I36" s="191" t="s">
        <v>301</v>
      </c>
      <c r="J36" s="191" t="s">
        <v>301</v>
      </c>
    </row>
    <row r="37" spans="1:10" s="153" customFormat="1" ht="21.75" customHeight="1" x14ac:dyDescent="0.25">
      <c r="A37" s="149" t="s">
        <v>229</v>
      </c>
      <c r="B37" s="157" t="s">
        <v>127</v>
      </c>
      <c r="C37" s="189">
        <v>43095</v>
      </c>
      <c r="D37" s="189">
        <v>43376</v>
      </c>
      <c r="E37" s="189">
        <v>43095</v>
      </c>
      <c r="F37" s="189">
        <v>43376</v>
      </c>
      <c r="G37" s="192">
        <v>1</v>
      </c>
      <c r="H37" s="192">
        <v>1</v>
      </c>
      <c r="I37" s="191" t="s">
        <v>301</v>
      </c>
      <c r="J37" s="191" t="s">
        <v>301</v>
      </c>
    </row>
    <row r="38" spans="1:10" s="153" customFormat="1" x14ac:dyDescent="0.25">
      <c r="A38" s="149" t="s">
        <v>230</v>
      </c>
      <c r="B38" s="150" t="s">
        <v>126</v>
      </c>
      <c r="C38" s="193"/>
      <c r="D38" s="193"/>
      <c r="E38" s="193"/>
      <c r="F38" s="193"/>
      <c r="G38" s="192"/>
      <c r="H38" s="192"/>
      <c r="I38" s="191"/>
      <c r="J38" s="191"/>
    </row>
    <row r="39" spans="1:10" s="153" customFormat="1" ht="67.5" customHeight="1" x14ac:dyDescent="0.25">
      <c r="A39" s="149">
        <v>2</v>
      </c>
      <c r="B39" s="157" t="s">
        <v>215</v>
      </c>
      <c r="C39" s="189">
        <v>43129</v>
      </c>
      <c r="D39" s="189">
        <v>43129</v>
      </c>
      <c r="E39" s="189">
        <v>43129</v>
      </c>
      <c r="F39" s="189">
        <v>43129</v>
      </c>
      <c r="G39" s="192">
        <v>1</v>
      </c>
      <c r="H39" s="192">
        <v>1</v>
      </c>
      <c r="I39" s="191" t="s">
        <v>301</v>
      </c>
      <c r="J39" s="191" t="s">
        <v>301</v>
      </c>
    </row>
    <row r="40" spans="1:10" s="153" customFormat="1" ht="33.75" customHeight="1" x14ac:dyDescent="0.25">
      <c r="A40" s="149" t="s">
        <v>125</v>
      </c>
      <c r="B40" s="157" t="s">
        <v>217</v>
      </c>
      <c r="C40" s="190" t="s">
        <v>279</v>
      </c>
      <c r="D40" s="189" t="s">
        <v>279</v>
      </c>
      <c r="E40" s="190">
        <v>43144</v>
      </c>
      <c r="F40" s="189">
        <v>43332</v>
      </c>
      <c r="G40" s="192">
        <v>1</v>
      </c>
      <c r="H40" s="192">
        <v>1</v>
      </c>
      <c r="I40" s="191" t="s">
        <v>301</v>
      </c>
      <c r="J40" s="191" t="s">
        <v>301</v>
      </c>
    </row>
    <row r="41" spans="1:10" s="153" customFormat="1" ht="63" customHeight="1" x14ac:dyDescent="0.25">
      <c r="A41" s="149" t="s">
        <v>124</v>
      </c>
      <c r="B41" s="150" t="s">
        <v>277</v>
      </c>
      <c r="C41" s="193"/>
      <c r="D41" s="193"/>
      <c r="E41" s="193"/>
      <c r="F41" s="193"/>
      <c r="G41" s="192"/>
      <c r="H41" s="192"/>
      <c r="I41" s="191"/>
      <c r="J41" s="191"/>
    </row>
    <row r="42" spans="1:10" s="153" customFormat="1" ht="40.5" customHeight="1" x14ac:dyDescent="0.25">
      <c r="A42" s="149">
        <v>3</v>
      </c>
      <c r="B42" s="157" t="s">
        <v>216</v>
      </c>
      <c r="C42" s="189">
        <v>43136</v>
      </c>
      <c r="D42" s="189">
        <v>43333</v>
      </c>
      <c r="E42" s="189">
        <v>43136</v>
      </c>
      <c r="F42" s="189">
        <v>43333</v>
      </c>
      <c r="G42" s="192">
        <v>1</v>
      </c>
      <c r="H42" s="192">
        <v>1</v>
      </c>
      <c r="I42" s="191" t="s">
        <v>301</v>
      </c>
      <c r="J42" s="191" t="s">
        <v>301</v>
      </c>
    </row>
    <row r="43" spans="1:10" s="153" customFormat="1" ht="26.25" customHeight="1" x14ac:dyDescent="0.25">
      <c r="A43" s="149" t="s">
        <v>123</v>
      </c>
      <c r="B43" s="157" t="s">
        <v>121</v>
      </c>
      <c r="C43" s="190" t="s">
        <v>279</v>
      </c>
      <c r="D43" s="190" t="s">
        <v>279</v>
      </c>
      <c r="E43" s="190">
        <v>43159</v>
      </c>
      <c r="F43" s="190">
        <v>43347</v>
      </c>
      <c r="G43" s="192">
        <v>1</v>
      </c>
      <c r="H43" s="192">
        <v>1</v>
      </c>
      <c r="I43" s="191" t="s">
        <v>301</v>
      </c>
      <c r="J43" s="191" t="s">
        <v>301</v>
      </c>
    </row>
    <row r="44" spans="1:10" s="153" customFormat="1" ht="24" customHeight="1" x14ac:dyDescent="0.25">
      <c r="A44" s="149" t="s">
        <v>122</v>
      </c>
      <c r="B44" s="157" t="s">
        <v>119</v>
      </c>
      <c r="C44" s="193">
        <v>43159</v>
      </c>
      <c r="D44" s="193">
        <v>43354</v>
      </c>
      <c r="E44" s="193">
        <v>43159</v>
      </c>
      <c r="F44" s="193">
        <v>43354</v>
      </c>
      <c r="G44" s="192">
        <v>1</v>
      </c>
      <c r="H44" s="192">
        <v>1</v>
      </c>
      <c r="I44" s="191" t="s">
        <v>301</v>
      </c>
      <c r="J44" s="191" t="s">
        <v>301</v>
      </c>
    </row>
    <row r="45" spans="1:10" s="153" customFormat="1" ht="90.75" customHeight="1" x14ac:dyDescent="0.25">
      <c r="A45" s="149" t="s">
        <v>120</v>
      </c>
      <c r="B45" s="157" t="s">
        <v>221</v>
      </c>
      <c r="C45" s="190" t="s">
        <v>279</v>
      </c>
      <c r="D45" s="190" t="s">
        <v>279</v>
      </c>
      <c r="E45" s="190" t="s">
        <v>279</v>
      </c>
      <c r="F45" s="190" t="s">
        <v>279</v>
      </c>
      <c r="G45" s="191"/>
      <c r="H45" s="191"/>
      <c r="I45" s="191" t="s">
        <v>301</v>
      </c>
      <c r="J45" s="191" t="s">
        <v>301</v>
      </c>
    </row>
    <row r="46" spans="1:10" s="153" customFormat="1" ht="167.25" customHeight="1" x14ac:dyDescent="0.25">
      <c r="A46" s="149" t="s">
        <v>118</v>
      </c>
      <c r="B46" s="157" t="s">
        <v>219</v>
      </c>
      <c r="C46" s="190" t="s">
        <v>279</v>
      </c>
      <c r="D46" s="190" t="s">
        <v>279</v>
      </c>
      <c r="E46" s="190" t="s">
        <v>279</v>
      </c>
      <c r="F46" s="190" t="s">
        <v>279</v>
      </c>
      <c r="G46" s="191"/>
      <c r="H46" s="191"/>
      <c r="I46" s="191" t="s">
        <v>301</v>
      </c>
      <c r="J46" s="191" t="s">
        <v>301</v>
      </c>
    </row>
    <row r="47" spans="1:10" s="153" customFormat="1" ht="30.75" customHeight="1" x14ac:dyDescent="0.25">
      <c r="A47" s="149" t="s">
        <v>116</v>
      </c>
      <c r="B47" s="157" t="s">
        <v>117</v>
      </c>
      <c r="C47" s="193" t="s">
        <v>279</v>
      </c>
      <c r="D47" s="193" t="s">
        <v>279</v>
      </c>
      <c r="E47" s="193">
        <v>43409</v>
      </c>
      <c r="F47" s="193">
        <v>43426</v>
      </c>
      <c r="G47" s="192">
        <v>1</v>
      </c>
      <c r="H47" s="192">
        <v>1</v>
      </c>
      <c r="I47" s="191" t="s">
        <v>301</v>
      </c>
      <c r="J47" s="191" t="s">
        <v>301</v>
      </c>
    </row>
    <row r="48" spans="1:10" s="153" customFormat="1" ht="29.25" customHeight="1" x14ac:dyDescent="0.25">
      <c r="A48" s="149" t="s">
        <v>231</v>
      </c>
      <c r="B48" s="150" t="s">
        <v>115</v>
      </c>
      <c r="C48" s="193"/>
      <c r="D48" s="193"/>
      <c r="E48" s="193"/>
      <c r="F48" s="193"/>
      <c r="G48" s="192"/>
      <c r="H48" s="192"/>
      <c r="I48" s="191"/>
      <c r="J48" s="191"/>
    </row>
    <row r="49" spans="1:10" s="153" customFormat="1" ht="35.25" customHeight="1" x14ac:dyDescent="0.25">
      <c r="A49" s="149">
        <v>4</v>
      </c>
      <c r="B49" s="157" t="s">
        <v>113</v>
      </c>
      <c r="C49" s="193" t="s">
        <v>279</v>
      </c>
      <c r="D49" s="193" t="s">
        <v>279</v>
      </c>
      <c r="E49" s="193">
        <v>43425</v>
      </c>
      <c r="F49" s="193">
        <v>43428</v>
      </c>
      <c r="G49" s="192">
        <v>1</v>
      </c>
      <c r="H49" s="192">
        <v>1</v>
      </c>
      <c r="I49" s="191" t="s">
        <v>301</v>
      </c>
      <c r="J49" s="191" t="s">
        <v>301</v>
      </c>
    </row>
    <row r="50" spans="1:10" s="153" customFormat="1" ht="86.25" customHeight="1" x14ac:dyDescent="0.25">
      <c r="A50" s="149" t="s">
        <v>114</v>
      </c>
      <c r="B50" s="157" t="s">
        <v>220</v>
      </c>
      <c r="C50" s="190">
        <v>43461</v>
      </c>
      <c r="D50" s="190">
        <v>43461</v>
      </c>
      <c r="E50" s="190">
        <v>43461</v>
      </c>
      <c r="F50" s="190">
        <v>43461</v>
      </c>
      <c r="G50" s="192">
        <v>1</v>
      </c>
      <c r="H50" s="192">
        <v>1</v>
      </c>
      <c r="I50" s="191" t="s">
        <v>301</v>
      </c>
      <c r="J50" s="191" t="s">
        <v>301</v>
      </c>
    </row>
    <row r="51" spans="1:10" s="153" customFormat="1" ht="77.25" customHeight="1" x14ac:dyDescent="0.25">
      <c r="A51" s="149" t="s">
        <v>112</v>
      </c>
      <c r="B51" s="157" t="s">
        <v>222</v>
      </c>
      <c r="C51" s="193">
        <v>43445</v>
      </c>
      <c r="D51" s="193">
        <v>43445</v>
      </c>
      <c r="E51" s="193">
        <v>43445</v>
      </c>
      <c r="F51" s="193">
        <v>43445</v>
      </c>
      <c r="G51" s="192">
        <v>1</v>
      </c>
      <c r="H51" s="192">
        <v>1</v>
      </c>
      <c r="I51" s="191" t="s">
        <v>301</v>
      </c>
      <c r="J51" s="191" t="s">
        <v>301</v>
      </c>
    </row>
    <row r="52" spans="1:10" s="153" customFormat="1" ht="71.25" customHeight="1" x14ac:dyDescent="0.25">
      <c r="A52" s="149" t="s">
        <v>110</v>
      </c>
      <c r="B52" s="157" t="s">
        <v>111</v>
      </c>
      <c r="C52" s="193">
        <v>43646</v>
      </c>
      <c r="D52" s="193">
        <v>43646</v>
      </c>
      <c r="E52" s="193"/>
      <c r="F52" s="193"/>
      <c r="G52" s="192"/>
      <c r="H52" s="192"/>
      <c r="I52" s="191" t="s">
        <v>301</v>
      </c>
      <c r="J52" s="191" t="s">
        <v>301</v>
      </c>
    </row>
    <row r="53" spans="1:10" s="153" customFormat="1" ht="36" customHeight="1" x14ac:dyDescent="0.25">
      <c r="A53" s="149" t="s">
        <v>108</v>
      </c>
      <c r="B53" s="153" t="s">
        <v>223</v>
      </c>
      <c r="C53" s="190">
        <v>43461</v>
      </c>
      <c r="D53" s="190">
        <v>43461</v>
      </c>
      <c r="E53" s="189">
        <v>43461</v>
      </c>
      <c r="F53" s="189">
        <v>43461</v>
      </c>
      <c r="G53" s="192">
        <v>1</v>
      </c>
      <c r="H53" s="192">
        <v>1</v>
      </c>
      <c r="I53" s="191" t="s">
        <v>301</v>
      </c>
      <c r="J53" s="191" t="s">
        <v>301</v>
      </c>
    </row>
    <row r="54" spans="1:10" s="153" customFormat="1" ht="46.5" customHeight="1" x14ac:dyDescent="0.25">
      <c r="A54" s="149" t="s">
        <v>224</v>
      </c>
      <c r="B54" s="157" t="s">
        <v>109</v>
      </c>
      <c r="C54" s="190">
        <v>43461</v>
      </c>
      <c r="D54" s="190">
        <v>43461</v>
      </c>
      <c r="E54" s="189">
        <v>43461</v>
      </c>
      <c r="F54" s="189">
        <v>43461</v>
      </c>
      <c r="G54" s="192">
        <v>1</v>
      </c>
      <c r="H54" s="192">
        <v>1</v>
      </c>
      <c r="I54" s="191" t="s">
        <v>301</v>
      </c>
      <c r="J54" s="191" t="s">
        <v>301</v>
      </c>
    </row>
    <row r="55" spans="1:10" s="153" customFormat="1" x14ac:dyDescent="0.25"/>
    <row r="56" spans="1:10" s="153" customFormat="1" x14ac:dyDescent="0.25"/>
    <row r="57" spans="1:10" s="153" customFormat="1" x14ac:dyDescent="0.25"/>
    <row r="58" spans="1:10" s="153" customFormat="1" x14ac:dyDescent="0.25"/>
    <row r="59" spans="1:10" s="153" customFormat="1" x14ac:dyDescent="0.25"/>
    <row r="60" spans="1:10" s="153" customFormat="1" x14ac:dyDescent="0.25"/>
    <row r="61" spans="1:10" s="153" customFormat="1" x14ac:dyDescent="0.25"/>
    <row r="62" spans="1:10" s="153" customFormat="1" x14ac:dyDescent="0.25"/>
    <row r="63" spans="1:10" s="153" customFormat="1" x14ac:dyDescent="0.25"/>
    <row r="64" spans="1:10" s="153" customFormat="1" x14ac:dyDescent="0.25"/>
    <row r="65" s="153" customFormat="1" x14ac:dyDescent="0.25"/>
    <row r="66" s="153" customFormat="1" x14ac:dyDescent="0.25"/>
    <row r="67" s="153" customFormat="1" x14ac:dyDescent="0.25"/>
    <row r="68" s="153" customFormat="1" x14ac:dyDescent="0.25"/>
    <row r="69" s="153" customFormat="1" x14ac:dyDescent="0.25"/>
    <row r="70" s="153" customFormat="1" x14ac:dyDescent="0.25"/>
    <row r="71" s="153" customFormat="1" x14ac:dyDescent="0.25"/>
    <row r="72" s="153" customFormat="1" x14ac:dyDescent="0.25"/>
    <row r="73" s="153" customFormat="1" x14ac:dyDescent="0.25"/>
    <row r="74" s="153" customFormat="1" x14ac:dyDescent="0.25"/>
    <row r="75" s="153" customFormat="1" x14ac:dyDescent="0.25"/>
    <row r="76" s="153" customFormat="1" x14ac:dyDescent="0.25"/>
    <row r="77" s="153" customFormat="1" x14ac:dyDescent="0.25"/>
    <row r="78" s="153" customFormat="1" x14ac:dyDescent="0.25"/>
    <row r="79" s="153" customFormat="1" x14ac:dyDescent="0.25"/>
    <row r="80" s="153" customFormat="1" x14ac:dyDescent="0.25"/>
    <row r="81" s="153" customFormat="1" x14ac:dyDescent="0.25"/>
    <row r="82" s="153" customFormat="1" x14ac:dyDescent="0.25"/>
    <row r="83" s="153" customFormat="1" x14ac:dyDescent="0.25"/>
    <row r="84" s="153" customFormat="1" x14ac:dyDescent="0.25"/>
    <row r="85" s="153" customFormat="1" x14ac:dyDescent="0.25"/>
    <row r="86" s="153" customFormat="1" x14ac:dyDescent="0.25"/>
    <row r="87" s="153" customFormat="1" x14ac:dyDescent="0.25"/>
    <row r="88" s="153" customFormat="1" x14ac:dyDescent="0.25"/>
    <row r="89" s="153" customFormat="1" x14ac:dyDescent="0.25"/>
    <row r="90" s="153" customFormat="1" x14ac:dyDescent="0.25"/>
    <row r="91" s="153" customFormat="1" x14ac:dyDescent="0.25"/>
    <row r="92" s="153" customFormat="1" x14ac:dyDescent="0.25"/>
    <row r="93" s="153" customFormat="1" x14ac:dyDescent="0.25"/>
    <row r="94" s="153" customFormat="1" x14ac:dyDescent="0.25"/>
    <row r="95" s="153" customFormat="1" x14ac:dyDescent="0.25"/>
    <row r="96" s="153" customFormat="1" x14ac:dyDescent="0.25"/>
    <row r="97" s="153" customFormat="1" x14ac:dyDescent="0.25"/>
    <row r="98" s="153" customFormat="1" x14ac:dyDescent="0.25"/>
    <row r="99" s="153" customFormat="1" x14ac:dyDescent="0.25"/>
    <row r="100" s="153" customFormat="1" x14ac:dyDescent="0.25"/>
    <row r="101" s="153" customFormat="1" x14ac:dyDescent="0.25"/>
    <row r="102" s="153" customFormat="1" x14ac:dyDescent="0.25"/>
    <row r="103" s="153" customFormat="1" x14ac:dyDescent="0.25"/>
    <row r="104" s="153" customFormat="1" x14ac:dyDescent="0.25"/>
    <row r="105" s="153" customFormat="1" x14ac:dyDescent="0.25"/>
    <row r="106" s="153" customFormat="1" x14ac:dyDescent="0.25"/>
    <row r="107" s="153" customFormat="1" x14ac:dyDescent="0.25"/>
    <row r="108" s="153" customFormat="1" x14ac:dyDescent="0.25"/>
    <row r="109" s="153" customFormat="1" x14ac:dyDescent="0.25"/>
    <row r="110" s="153" customFormat="1" x14ac:dyDescent="0.25"/>
    <row r="111" s="153" customFormat="1" x14ac:dyDescent="0.25"/>
    <row r="112" s="153" customFormat="1" x14ac:dyDescent="0.25"/>
    <row r="113" s="153" customFormat="1" x14ac:dyDescent="0.25"/>
    <row r="114" s="153" customFormat="1" x14ac:dyDescent="0.25"/>
    <row r="115" s="153" customFormat="1" x14ac:dyDescent="0.25"/>
    <row r="116" s="153" customFormat="1" x14ac:dyDescent="0.25"/>
    <row r="117" s="153" customFormat="1" x14ac:dyDescent="0.25"/>
    <row r="118" s="153" customFormat="1" x14ac:dyDescent="0.25"/>
    <row r="119" s="153" customFormat="1" x14ac:dyDescent="0.25"/>
    <row r="120" s="153" customFormat="1" x14ac:dyDescent="0.25"/>
    <row r="121" s="153" customFormat="1" x14ac:dyDescent="0.25"/>
    <row r="122" s="153" customFormat="1" x14ac:dyDescent="0.25"/>
    <row r="123" s="153" customFormat="1" x14ac:dyDescent="0.25"/>
    <row r="124" s="153" customFormat="1" x14ac:dyDescent="0.25"/>
    <row r="125" s="153" customFormat="1" x14ac:dyDescent="0.25"/>
    <row r="126" s="153" customFormat="1" x14ac:dyDescent="0.25"/>
    <row r="127" s="153" customFormat="1" x14ac:dyDescent="0.25"/>
    <row r="128" s="153" customFormat="1" x14ac:dyDescent="0.25"/>
    <row r="129" s="153" customFormat="1" x14ac:dyDescent="0.25"/>
    <row r="130" s="153" customFormat="1" x14ac:dyDescent="0.25"/>
    <row r="131" s="153" customFormat="1" x14ac:dyDescent="0.25"/>
    <row r="132" s="153" customFormat="1" x14ac:dyDescent="0.25"/>
    <row r="133" s="153" customFormat="1" x14ac:dyDescent="0.25"/>
    <row r="134" s="153" customFormat="1" x14ac:dyDescent="0.25"/>
    <row r="135" s="153" customFormat="1" x14ac:dyDescent="0.25"/>
    <row r="136" s="153" customFormat="1" x14ac:dyDescent="0.25"/>
    <row r="137" s="153" customFormat="1" x14ac:dyDescent="0.25"/>
    <row r="138" s="153" customFormat="1" x14ac:dyDescent="0.25"/>
    <row r="139" s="153" customFormat="1" x14ac:dyDescent="0.25"/>
    <row r="140" s="153" customFormat="1" x14ac:dyDescent="0.25"/>
    <row r="141" s="153" customFormat="1" x14ac:dyDescent="0.25"/>
    <row r="142" s="153" customFormat="1" x14ac:dyDescent="0.25"/>
    <row r="143" s="153" customFormat="1" x14ac:dyDescent="0.25"/>
    <row r="144" s="153" customFormat="1" x14ac:dyDescent="0.25"/>
    <row r="145" s="153" customFormat="1" x14ac:dyDescent="0.25"/>
    <row r="146" s="153" customFormat="1" x14ac:dyDescent="0.25"/>
    <row r="147" s="153" customFormat="1" x14ac:dyDescent="0.25"/>
    <row r="148" s="153" customFormat="1" x14ac:dyDescent="0.25"/>
    <row r="149" s="153" customFormat="1" x14ac:dyDescent="0.25"/>
    <row r="150" s="153" customFormat="1" x14ac:dyDescent="0.25"/>
    <row r="151" s="153" customFormat="1" x14ac:dyDescent="0.25"/>
    <row r="152" s="153" customFormat="1" x14ac:dyDescent="0.25"/>
    <row r="153" s="153" customFormat="1" x14ac:dyDescent="0.25"/>
    <row r="154" s="153" customFormat="1" x14ac:dyDescent="0.25"/>
    <row r="155" s="153" customFormat="1" x14ac:dyDescent="0.25"/>
    <row r="156" s="153" customFormat="1" x14ac:dyDescent="0.25"/>
    <row r="157" s="153" customFormat="1" x14ac:dyDescent="0.25"/>
    <row r="158" s="153" customFormat="1" x14ac:dyDescent="0.25"/>
    <row r="159" s="153" customFormat="1" x14ac:dyDescent="0.25"/>
    <row r="160" s="153" customFormat="1" x14ac:dyDescent="0.25"/>
    <row r="161" s="153" customFormat="1" x14ac:dyDescent="0.25"/>
    <row r="162" s="153" customFormat="1" x14ac:dyDescent="0.25"/>
    <row r="163" s="153" customFormat="1" x14ac:dyDescent="0.25"/>
    <row r="164" s="153" customFormat="1" x14ac:dyDescent="0.25"/>
    <row r="165" s="153" customFormat="1" x14ac:dyDescent="0.25"/>
    <row r="166" s="153" customFormat="1" x14ac:dyDescent="0.25"/>
    <row r="167" s="153" customFormat="1" x14ac:dyDescent="0.25"/>
    <row r="168" s="153" customFormat="1" x14ac:dyDescent="0.25"/>
    <row r="169" s="153" customFormat="1" x14ac:dyDescent="0.25"/>
    <row r="170" s="153" customFormat="1" x14ac:dyDescent="0.25"/>
    <row r="171" s="153" customFormat="1" x14ac:dyDescent="0.25"/>
    <row r="172" s="153" customFormat="1" x14ac:dyDescent="0.25"/>
    <row r="173" s="153" customFormat="1" x14ac:dyDescent="0.25"/>
    <row r="174" s="153" customFormat="1" x14ac:dyDescent="0.25"/>
    <row r="175" s="153" customFormat="1" x14ac:dyDescent="0.25"/>
    <row r="176" s="153" customFormat="1" x14ac:dyDescent="0.25"/>
    <row r="177" s="153" customFormat="1" x14ac:dyDescent="0.25"/>
    <row r="178" s="153" customFormat="1" x14ac:dyDescent="0.25"/>
    <row r="179" s="153" customFormat="1" x14ac:dyDescent="0.25"/>
    <row r="180" s="153" customFormat="1" x14ac:dyDescent="0.25"/>
    <row r="181" s="153" customFormat="1" x14ac:dyDescent="0.25"/>
    <row r="182" s="153" customFormat="1" x14ac:dyDescent="0.25"/>
    <row r="183" s="153" customFormat="1" x14ac:dyDescent="0.25"/>
    <row r="184" s="153" customFormat="1" x14ac:dyDescent="0.25"/>
    <row r="185" s="153" customFormat="1" x14ac:dyDescent="0.25"/>
    <row r="186" s="153" customFormat="1" x14ac:dyDescent="0.25"/>
    <row r="187" s="153" customFormat="1" x14ac:dyDescent="0.25"/>
    <row r="188" s="153" customFormat="1" x14ac:dyDescent="0.25"/>
    <row r="189" s="153" customFormat="1" x14ac:dyDescent="0.25"/>
    <row r="190" s="153" customFormat="1" x14ac:dyDescent="0.25"/>
    <row r="191" s="153" customFormat="1" x14ac:dyDescent="0.25"/>
    <row r="192" s="153" customFormat="1" x14ac:dyDescent="0.25"/>
    <row r="193" s="153" customFormat="1" x14ac:dyDescent="0.25"/>
  </sheetData>
  <mergeCells count="21">
    <mergeCell ref="A13:J13"/>
    <mergeCell ref="A11:J11"/>
    <mergeCell ref="A12:J12"/>
    <mergeCell ref="J21:J23"/>
    <mergeCell ref="C22:D22"/>
    <mergeCell ref="G21:G23"/>
    <mergeCell ref="A14:J14"/>
    <mergeCell ref="H21:H23"/>
    <mergeCell ref="C21:F21"/>
    <mergeCell ref="A19:J19"/>
    <mergeCell ref="A21:A23"/>
    <mergeCell ref="A15:J15"/>
    <mergeCell ref="B21:B23"/>
    <mergeCell ref="I21:I23"/>
    <mergeCell ref="A16:J16"/>
    <mergeCell ref="E22:F22"/>
    <mergeCell ref="A5:J5"/>
    <mergeCell ref="A7:J7"/>
    <mergeCell ref="A9:J9"/>
    <mergeCell ref="A10:J10"/>
    <mergeCell ref="A8:J8"/>
  </mergeCells>
  <phoneticPr fontId="46" type="noConversion"/>
  <pageMargins left="0.70866141732283472" right="0.70866141732283472" top="0.74803149606299213" bottom="0.74803149606299213" header="0.31496062992125984" footer="0.31496062992125984"/>
  <pageSetup paperSize="8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2016-07-01T09:08:50Z</cp:lastPrinted>
  <dcterms:created xsi:type="dcterms:W3CDTF">2015-08-16T15:31:05Z</dcterms:created>
  <dcterms:modified xsi:type="dcterms:W3CDTF">2019-11-10T09:12:00Z</dcterms:modified>
</cp:coreProperties>
</file>