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10" yWindow="120" windowWidth="12465" windowHeight="11745" tabRatio="903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14" r:id="rId4"/>
    <sheet name="3.3 паспорт описание" sheetId="6" r:id="rId5"/>
    <sheet name="3.4. Паспорт надежность" sheetId="25" r:id="rId6"/>
    <sheet name="4.паспорт бюджет" sheetId="26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7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местоположение'!$A$1:$C$54</definedName>
    <definedName name="_xlnm.Print_Area" localSheetId="1">'2. паспорт  ТП'!$A$1:$S$22</definedName>
    <definedName name="_xlnm.Print_Area" localSheetId="2">'3.1. паспорт Техсостояние ПС'!$A$2:$T$49</definedName>
    <definedName name="_xlnm.Print_Area" localSheetId="3">'3.2 паспорт Техсостояние ЛЭП'!$A$1:$AA$26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закупке'!$A$1:$AV$31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B57" i="22" l="1"/>
  <c r="B59" i="22"/>
  <c r="E34" i="15" l="1"/>
  <c r="D32" i="15"/>
  <c r="D33" i="15"/>
  <c r="D34" i="15"/>
  <c r="D31" i="15"/>
  <c r="F59" i="15" l="1"/>
  <c r="F58" i="15"/>
  <c r="F51" i="15"/>
  <c r="F43" i="15"/>
  <c r="B56" i="22" l="1"/>
  <c r="B29" i="22"/>
  <c r="B30" i="22"/>
  <c r="F25" i="27"/>
  <c r="G25" i="27" s="1"/>
  <c r="H25" i="27" s="1"/>
  <c r="I25" i="27" s="1"/>
  <c r="J25" i="27" s="1"/>
  <c r="K25" i="27" s="1"/>
  <c r="L25" i="27" s="1"/>
  <c r="M25" i="27" s="1"/>
  <c r="N25" i="27" s="1"/>
  <c r="O25" i="27" s="1"/>
  <c r="P25" i="27" s="1"/>
  <c r="Q25" i="27" s="1"/>
  <c r="R25" i="27" s="1"/>
  <c r="S25" i="27" s="1"/>
  <c r="T25" i="27" s="1"/>
  <c r="U25" i="27" s="1"/>
  <c r="V25" i="27" s="1"/>
  <c r="W25" i="27" s="1"/>
  <c r="X25" i="27" s="1"/>
  <c r="Y25" i="27" s="1"/>
  <c r="Z25" i="27" s="1"/>
  <c r="AA25" i="27" s="1"/>
  <c r="AB25" i="27" s="1"/>
  <c r="AC25" i="27" s="1"/>
  <c r="AD25" i="27" s="1"/>
  <c r="AE25" i="27" s="1"/>
  <c r="AF25" i="27" s="1"/>
  <c r="AG25" i="27" s="1"/>
  <c r="AH25" i="27" s="1"/>
  <c r="AI25" i="27" s="1"/>
  <c r="AJ25" i="27" s="1"/>
  <c r="AK25" i="27" s="1"/>
  <c r="AL25" i="27" s="1"/>
  <c r="AM25" i="27" s="1"/>
  <c r="AN25" i="27" s="1"/>
  <c r="AO25" i="27" s="1"/>
  <c r="AP25" i="27" s="1"/>
  <c r="AQ25" i="27" s="1"/>
  <c r="AR25" i="27" s="1"/>
  <c r="AS25" i="27" s="1"/>
  <c r="AT25" i="27" s="1"/>
  <c r="AU25" i="27" s="1"/>
  <c r="AV25" i="27" s="1"/>
  <c r="A14" i="25"/>
  <c r="A16" i="13"/>
  <c r="A12" i="22"/>
  <c r="A15" i="22"/>
  <c r="A11" i="15"/>
  <c r="A12" i="16"/>
  <c r="A12" i="23"/>
  <c r="A12" i="6"/>
  <c r="E12" i="14"/>
  <c r="A13" i="13"/>
  <c r="A14" i="15"/>
  <c r="A15" i="16"/>
  <c r="A15" i="23"/>
  <c r="A15" i="6"/>
  <c r="E15" i="14"/>
  <c r="A14" i="24"/>
  <c r="A5" i="22"/>
  <c r="A4" i="15" s="1"/>
  <c r="A5" i="27"/>
  <c r="A5" i="16"/>
  <c r="A5" i="23"/>
  <c r="A6" i="26"/>
  <c r="A4" i="25"/>
  <c r="A5" i="6"/>
  <c r="A5" i="14"/>
  <c r="A6" i="13"/>
  <c r="A4" i="24"/>
  <c r="B26" i="22"/>
  <c r="A11" i="24"/>
  <c r="A15" i="27"/>
  <c r="A12" i="27"/>
  <c r="A16" i="26"/>
  <c r="A13" i="26"/>
  <c r="A11" i="25"/>
  <c r="F55" i="15" l="1"/>
  <c r="F50" i="15"/>
  <c r="E50" i="15" s="1"/>
  <c r="F48" i="15"/>
  <c r="F46" i="15"/>
  <c r="F44" i="15"/>
  <c r="F64" i="15"/>
  <c r="E64" i="15" s="1"/>
  <c r="F62" i="15"/>
  <c r="E62" i="15" s="1"/>
  <c r="F60" i="15"/>
  <c r="E60" i="15" s="1"/>
  <c r="F56" i="15"/>
  <c r="E56" i="15" s="1"/>
  <c r="F52" i="15"/>
  <c r="F41" i="15"/>
  <c r="F39" i="15"/>
  <c r="F37" i="15"/>
  <c r="E37" i="15" s="1"/>
  <c r="C48" i="7"/>
  <c r="F57" i="15"/>
  <c r="E57" i="15" s="1"/>
  <c r="F53" i="15"/>
  <c r="E53" i="15" s="1"/>
  <c r="F49" i="15"/>
  <c r="E49" i="15" s="1"/>
  <c r="F47" i="15"/>
  <c r="F45" i="15"/>
  <c r="E45" i="15" s="1"/>
  <c r="F61" i="15"/>
  <c r="E61" i="15" s="1"/>
  <c r="F42" i="15"/>
  <c r="F63" i="15"/>
  <c r="E63" i="15" s="1"/>
  <c r="F36" i="15"/>
  <c r="E36" i="15" s="1"/>
  <c r="F54" i="15"/>
  <c r="E54" i="15" s="1"/>
  <c r="F40" i="15"/>
  <c r="F38" i="15"/>
  <c r="E38" i="15" s="1"/>
  <c r="C47" i="7"/>
  <c r="F26" i="15" l="1"/>
  <c r="E26" i="15" s="1"/>
  <c r="F25" i="15"/>
  <c r="E25" i="15" s="1"/>
  <c r="E41" i="15"/>
  <c r="E48" i="15"/>
  <c r="E40" i="15"/>
  <c r="E47" i="15"/>
  <c r="D25" i="15"/>
  <c r="C29" i="15"/>
  <c r="E44" i="15"/>
  <c r="C26" i="15"/>
  <c r="D29" i="15"/>
  <c r="E29" i="15"/>
  <c r="C28" i="15"/>
  <c r="D27" i="15"/>
  <c r="C25" i="15"/>
  <c r="E42" i="15"/>
  <c r="E28" i="15"/>
  <c r="D28" i="15"/>
  <c r="E39" i="15"/>
  <c r="E52" i="15"/>
  <c r="D26" i="15"/>
  <c r="E46" i="15"/>
  <c r="E55" i="15"/>
  <c r="C27" i="15" l="1"/>
  <c r="F27" i="15"/>
  <c r="E27" i="15" s="1"/>
</calcChain>
</file>

<file path=xl/sharedStrings.xml><?xml version="1.0" encoding="utf-8"?>
<sst xmlns="http://schemas.openxmlformats.org/spreadsheetml/2006/main" count="1167" uniqueCount="532">
  <si>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</si>
  <si>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</si>
  <si>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</si>
  <si>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</si>
  <si>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</si>
  <si>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</si>
  <si>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</si>
  <si>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</si>
  <si>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</si>
  <si>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</si>
  <si>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</si>
  <si>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</si>
  <si>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</si>
  <si>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</si>
  <si>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</si>
  <si>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</si>
  <si>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</si>
  <si>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</si>
  <si>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</si>
  <si>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</si>
  <si>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</si>
  <si>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</si>
  <si>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</si>
  <si>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</si>
  <si>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</si>
  <si>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</si>
  <si>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</si>
  <si>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</si>
  <si>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</si>
  <si>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</si>
  <si>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</si>
  <si>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</si>
  <si>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</si>
  <si>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</si>
  <si>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</si>
  <si>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</si>
  <si>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</si>
  <si>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</si>
  <si>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</si>
  <si>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</si>
  <si>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</si>
  <si>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</si>
  <si>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</si>
  <si>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</si>
  <si>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</si>
  <si>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</si>
  <si>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</si>
  <si>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</si>
  <si>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</si>
  <si>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</si>
  <si>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</si>
  <si>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</si>
  <si>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</si>
  <si>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</si>
  <si>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</si>
  <si>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</si>
  <si>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</si>
  <si>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</si>
  <si>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</si>
  <si>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</si>
  <si>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</si>
  <si>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</si>
  <si>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</si>
  <si>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</si>
  <si>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</si>
  <si>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</si>
  <si>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</si>
  <si>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</si>
  <si>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</si>
  <si>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</si>
  <si>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</si>
  <si>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</si>
  <si>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</si>
  <si>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</si>
  <si>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</si>
  <si>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</si>
  <si>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</si>
  <si>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</si>
  <si>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</si>
  <si>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</si>
  <si>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</si>
  <si>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</si>
  <si>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</si>
  <si>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</si>
  <si>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</si>
  <si>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</si>
  <si>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</si>
  <si>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</si>
  <si>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</si>
  <si>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</si>
  <si>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</si>
  <si>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</si>
  <si>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</si>
  <si>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</si>
  <si>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</si>
  <si>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</si>
  <si>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</si>
  <si>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</si>
  <si>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</si>
  <si>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</si>
  <si>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</si>
  <si>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</si>
  <si>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</si>
  <si>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</si>
  <si>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</si>
  <si>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</si>
  <si>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</si>
  <si>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</si>
  <si>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</si>
  <si>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</si>
  <si>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</si>
  <si>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</si>
  <si>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</si>
  <si>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</si>
  <si>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</si>
  <si>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</si>
  <si>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</si>
  <si>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</si>
  <si>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</si>
  <si>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</si>
  <si>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</si>
  <si>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</si>
  <si>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</si>
  <si>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</si>
  <si>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</si>
  <si>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</si>
  <si>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</si>
  <si>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</si>
  <si>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</si>
  <si>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</si>
  <si>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</si>
  <si>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</si>
  <si>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</si>
  <si>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</si>
  <si>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</si>
  <si>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</si>
  <si>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</si>
  <si>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</si>
  <si>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</si>
  <si>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</si>
  <si>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</si>
  <si>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</si>
  <si>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</si>
  <si>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</si>
  <si>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</si>
  <si>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</si>
  <si>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</si>
  <si>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</si>
  <si>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</si>
  <si>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</si>
  <si>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</si>
  <si>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</si>
  <si>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</si>
  <si>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</si>
  <si>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</si>
  <si>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</si>
  <si>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</si>
  <si>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</si>
  <si>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</si>
  <si>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</si>
  <si>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</si>
  <si>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</si>
  <si>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</si>
  <si>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</si>
  <si>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</si>
  <si>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</si>
  <si>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</si>
  <si>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</si>
  <si>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</si>
  <si>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</si>
  <si>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</si>
  <si>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</si>
  <si>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</si>
  <si>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</si>
  <si>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</si>
  <si>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</si>
  <si>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</si>
  <si>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</si>
  <si>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</si>
  <si>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</si>
  <si>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</si>
  <si>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</si>
  <si>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</si>
  <si>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</si>
  <si>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</si>
  <si>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</si>
  <si>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</si>
  <si>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</si>
  <si>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</si>
  <si>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</si>
  <si>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</si>
  <si>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</si>
  <si>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</si>
  <si>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</si>
  <si>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</si>
  <si>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</si>
  <si>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</si>
  <si>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</si>
  <si>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</si>
  <si>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</si>
  <si>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</si>
  <si>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</si>
  <si>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</si>
  <si>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</si>
  <si>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</si>
  <si>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</si>
  <si>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</si>
  <si>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</si>
  <si>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</si>
  <si>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</si>
  <si>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</si>
  <si>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</si>
  <si>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</si>
  <si>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</si>
  <si>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</si>
  <si>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</si>
  <si>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</si>
  <si>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</si>
  <si>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</si>
  <si>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</si>
  <si>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</si>
  <si>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</si>
  <si>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</si>
  <si>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</si>
  <si>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</si>
  <si>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</si>
  <si>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</si>
  <si>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</si>
  <si>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</si>
  <si>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</si>
  <si>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</si>
  <si>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</si>
  <si>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</si>
  <si>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</si>
  <si>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</si>
  <si>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</si>
  <si>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</si>
  <si>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</si>
  <si>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</si>
  <si>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</si>
  <si>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</si>
  <si>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</si>
  <si>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</si>
  <si>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</si>
  <si>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</si>
  <si>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</si>
  <si>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</si>
  <si>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</si>
  <si>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</si>
  <si>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</si>
  <si>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</si>
  <si>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</si>
  <si>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</si>
  <si>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</si>
  <si>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</si>
  <si>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</si>
  <si>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</si>
  <si>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</si>
  <si>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</si>
  <si>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</si>
  <si>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</si>
  <si>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</si>
  <si>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</si>
  <si>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</si>
  <si>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</si>
  <si>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</si>
  <si>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</si>
  <si>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</si>
  <si>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</si>
  <si>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</si>
  <si>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</si>
  <si>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</si>
  <si>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</si>
  <si>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</si>
  <si>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</si>
  <si>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</si>
  <si>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</si>
  <si>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Чеченская Республика</t>
  </si>
  <si>
    <t>не требуется</t>
  </si>
  <si>
    <t>ВЛ</t>
  </si>
  <si>
    <t>Год 2017</t>
  </si>
  <si>
    <t>ПАО "МРСК Северного Кавказа"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</si>
  <si>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</si>
  <si>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</si>
  <si>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</si>
  <si>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</si>
  <si>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</si>
  <si>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</si>
  <si>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</si>
  <si>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</si>
  <si>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Год 2016</t>
  </si>
  <si>
    <t>ПБ-110-8; У-110-2(3)</t>
  </si>
  <si>
    <t>01.07.2016 г.</t>
  </si>
  <si>
    <t xml:space="preserve">Цели </t>
  </si>
  <si>
    <t>АО "Чеченэнерго"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</si>
  <si>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</si>
  <si>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</si>
  <si>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</si>
  <si>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</si>
  <si>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</si>
  <si>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</si>
  <si>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</si>
  <si>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23</t>
  </si>
  <si>
    <t>24</t>
  </si>
  <si>
    <t>25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</si>
  <si>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</si>
  <si>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</si>
  <si>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</si>
  <si>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</si>
  <si>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</si>
  <si>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</si>
  <si>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</si>
  <si>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</si>
  <si>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</si>
  <si>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</si>
  <si>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</si>
  <si>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</si>
  <si>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</si>
  <si>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</si>
  <si>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</si>
  <si>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</si>
  <si>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</si>
  <si>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</si>
  <si>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</si>
  <si>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</si>
  <si>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</si>
  <si>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</si>
  <si>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</si>
  <si>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</si>
  <si>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</si>
  <si>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</si>
  <si>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</si>
  <si>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</si>
  <si>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</si>
  <si>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</si>
  <si>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</si>
  <si>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</si>
  <si>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</si>
  <si>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</si>
  <si>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</si>
  <si>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</si>
  <si>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</si>
  <si>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</si>
  <si>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</si>
  <si>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</si>
  <si>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</si>
  <si>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</si>
  <si>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</si>
  <si>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</si>
  <si>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</si>
  <si>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</si>
  <si>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</si>
  <si>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</si>
  <si>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</si>
  <si>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</si>
  <si>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</si>
  <si>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</si>
  <si>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</si>
  <si>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</si>
  <si>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</si>
  <si>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</si>
  <si>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</si>
  <si>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</si>
  <si>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</si>
  <si>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</si>
  <si>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</si>
  <si>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</si>
  <si>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</si>
  <si>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</si>
  <si>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</si>
  <si>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</si>
  <si>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</si>
  <si>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</si>
  <si>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</si>
  <si>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</si>
  <si>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</si>
  <si>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</si>
  <si>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</si>
  <si>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</si>
  <si>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</si>
  <si>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</si>
  <si>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</si>
  <si>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</si>
  <si>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</si>
  <si>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</si>
  <si>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</si>
  <si>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</si>
  <si>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</si>
  <si>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</si>
  <si>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</si>
  <si>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</si>
  <si>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</si>
  <si>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</si>
  <si>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</si>
  <si>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</si>
  <si>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</si>
  <si>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</si>
  <si>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</si>
  <si>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</si>
  <si>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</si>
  <si>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</si>
  <si>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</si>
  <si>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</si>
  <si>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</si>
  <si>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</si>
  <si>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</si>
  <si>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</si>
  <si>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</si>
  <si>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</si>
  <si>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</si>
  <si>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</si>
  <si>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</si>
  <si>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</si>
  <si>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</si>
  <si>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</si>
  <si>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</si>
  <si>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</si>
  <si>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</si>
  <si>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</si>
  <si>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</si>
  <si>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</si>
  <si>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</si>
  <si>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</si>
  <si>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</si>
  <si>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</si>
  <si>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</si>
  <si>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</si>
  <si>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</si>
  <si>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</si>
  <si>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</si>
  <si>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</si>
  <si>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</si>
  <si>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</si>
  <si>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</si>
  <si>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</si>
  <si>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</si>
  <si>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объем заключенного договора в ценах ___ года с НДС, млн. руб.</t>
  </si>
  <si>
    <t>освоено по договору, млн. руб. с НДС</t>
  </si>
  <si>
    <t>Сметная стоимость проекта в ценах 2018 года с НДС, млн. руб.</t>
  </si>
  <si>
    <t>УСР</t>
  </si>
  <si>
    <t>АС-185</t>
  </si>
  <si>
    <t>Строительство ВЛ110кВ АС185 2км</t>
  </si>
  <si>
    <t>I_Che152</t>
  </si>
  <si>
    <t>Строительство ВЛ-110кВ  Грозненская ТЭС-Грозный с отпайкой на ПС Южная 1,2 цепь (2 цепная) протяженностью 2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</si>
  <si>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энергетика</t>
  </si>
  <si>
    <t>строительство</t>
  </si>
  <si>
    <t>Сводный сметный расчет</t>
  </si>
  <si>
    <t>ЗП</t>
  </si>
  <si>
    <t>ООО "Успех"</t>
  </si>
  <si>
    <t>b2b-center.ru</t>
  </si>
  <si>
    <t>2,0</t>
  </si>
  <si>
    <t>Выполнение подрядных работ по объекту: "Осуществление технологического присоединения энергетических установок ПАО "ОГК-2" (Грозненская ТЭС) к электрическим сетям АО "ЧЭ" и ПАО "МРСК Северного Кавказа" для обеспечения выдачи мощности Грознеской ТЭС. Строительство участков двухцепной ВЛ: ВЛ 110 кВ Грозненская ТЭС-Грозный с отпайкой на ПС Южная 1 цепь,ВЛ 110 кВ Грозненская ТЭС-Грозный с отпайкой на ПС Южная 2 цепь"  для нужд АО "ЧЭ"</t>
  </si>
  <si>
    <t>61311,347</t>
  </si>
  <si>
    <t>ООО "Лидер            ООО"ПРОФ-СТРОЙ"</t>
  </si>
  <si>
    <t>61127,416</t>
  </si>
  <si>
    <t>61127,416             61250,038</t>
  </si>
  <si>
    <t>72130,350</t>
  </si>
  <si>
    <t>72130,351</t>
  </si>
  <si>
    <t>995488</t>
  </si>
  <si>
    <t>Возможно реализовать в установленный срок</t>
  </si>
  <si>
    <t xml:space="preserve">№155/2018 от 28.02.2018 </t>
  </si>
  <si>
    <t>в работе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</si>
  <si>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</si>
  <si>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</si>
  <si>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г.Грозный Заводской р-н</t>
  </si>
  <si>
    <t>+</t>
  </si>
  <si>
    <t>-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</si>
  <si>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</si>
  <si>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- 2 км. Показатель максимальной мощности присоединяемых объектов по производству электрической энергии - 346,8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</si>
  <si>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годы")</t>
  </si>
  <si>
    <t>не проводились</t>
  </si>
  <si>
    <t>Грозненская ТЭС</t>
  </si>
  <si>
    <t>ПС 110кВ Южная</t>
  </si>
  <si>
    <t>Строительство ВЛ-110кВ  Грозненская ТЭС-Грозный с отпайкой на ПС Южная 1,2 цепь (2 цепная) протяженностью 2 км каждая</t>
  </si>
  <si>
    <t>ВЛ110кВ АС185 2км</t>
  </si>
  <si>
    <t>Исполнение обязательств по договору технологического присоединения №155/2018 28.02.2018</t>
  </si>
  <si>
    <t>Обеспечение выдачи мощности Грозненской ТЭС</t>
  </si>
  <si>
    <t xml:space="preserve"> Строительство ВЛ110кВ АС185 2км</t>
  </si>
  <si>
    <t>не расчитывается</t>
  </si>
  <si>
    <t>Разделение на этапы не предусмотрено</t>
  </si>
  <si>
    <t>ПИР</t>
  </si>
  <si>
    <t>30 225,881</t>
  </si>
  <si>
    <t>ООО "Лидер"</t>
  </si>
  <si>
    <t>35345,541</t>
  </si>
  <si>
    <t xml:space="preserve">25.12.2017 </t>
  </si>
  <si>
    <t>декабрь 2017</t>
  </si>
  <si>
    <t>26.12.2017</t>
  </si>
  <si>
    <t>(2 км)</t>
  </si>
  <si>
    <t>Договор технологического присоединения от 28.02.2018 №155/2018, заключенный в соответствиеи с правилами ТП (утв. Постановлением Правительства РФ от 27.12.2004г. №861);  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t>
  </si>
  <si>
    <t>СМР</t>
  </si>
  <si>
    <t>Дополнительное соглашение №1 от 19.03.2019г. К дог № 24-18-ЧечЭ от 03.05.2018г.</t>
  </si>
  <si>
    <t>ООО "Лидер" № 24-18-ЧечЭ от 03.05.2018 доп.согл.№1 от 19.03.2019г.</t>
  </si>
  <si>
    <t>Строительство</t>
  </si>
  <si>
    <t>объем заключенного договора в ценах __2019__года с НДС, млн. руб.</t>
  </si>
  <si>
    <t>объем заключенного договора в ценах __2017_ года с НДС, млн. руб.</t>
  </si>
  <si>
    <t>- прочие затраты по объекту, в т.ч.</t>
  </si>
  <si>
    <t>заработная плата производственного персонала</t>
  </si>
  <si>
    <t>проценты за пользование кредитными средствами</t>
  </si>
  <si>
    <t>12.2018/12.2018</t>
  </si>
  <si>
    <t>0</t>
  </si>
  <si>
    <t xml:space="preserve">услуги </t>
  </si>
  <si>
    <t>Дополнительное соглашение № 1 от 20.04.2018г.к договору  № 84-17-ЧечЭ от26.12.2017</t>
  </si>
  <si>
    <t>20.04.2018</t>
  </si>
  <si>
    <t>31.06.2018г.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</si>
  <si>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</si>
  <si>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</si>
  <si>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</si>
  <si>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</si>
  <si>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</si>
  <si>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</si>
  <si>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</si>
  <si>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12.2018/12.2017</t>
  </si>
  <si>
    <t xml:space="preserve">ООО "Лидер" / ООО "Сибирь-инжиниринг"/ООО "АВЭС ИНЖИНИРИНГ"/ООО проектно-строительная фирма "Бештаупроект" </t>
  </si>
  <si>
    <t>29 953,84/30 051,06/30 074,75/30 183,50800</t>
  </si>
  <si>
    <t xml:space="preserve">ООО "Сибирь-инжиниринг"/ООО проектно-строительная фирма "Бештаупроект" </t>
  </si>
  <si>
    <t>29 953,84</t>
  </si>
  <si>
    <t>929511</t>
  </si>
  <si>
    <t>www.b2b-mrsk.ru</t>
  </si>
  <si>
    <t>27.11.2017</t>
  </si>
  <si>
    <t>13.12.2017</t>
  </si>
  <si>
    <t>Закупка у ЕИ  не осуществлялась</t>
  </si>
  <si>
    <t>30.06.2018</t>
  </si>
  <si>
    <t>Разработка проектно-сметной документации в целях реализации мероприятий по технологическому присоединению Грозненской ТЭС отражена по инвестиционным проектам I_Che147-I_Che162</t>
  </si>
  <si>
    <t>12.2018/12.2019</t>
  </si>
  <si>
    <t>ООО "Лидер" № 84-17-ЧечЭ от 26.12.2017г.( доп.согл.№1 от20.04.2018г., №2 от 20.08.2018г., № 3 от 22.10.2018г.)</t>
  </si>
  <si>
    <t>Факт 2018 года</t>
  </si>
  <si>
    <t xml:space="preserve">2019 год 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</si>
  <si>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</si>
  <si>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</si>
  <si>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</si>
  <si>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</si>
  <si>
    <t>Год раскрытия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</si>
</sst>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;[Red]#,##0.00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61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60" fillId="0" borderId="0"/>
    <xf numFmtId="0" fontId="28" fillId="0" borderId="0"/>
    <xf numFmtId="0" fontId="13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2" fillId="0" borderId="0"/>
    <xf numFmtId="0" fontId="10" fillId="0" borderId="0"/>
    <xf numFmtId="0" fontId="6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60" fillId="0" borderId="0"/>
    <xf numFmtId="0" fontId="10" fillId="0" borderId="0"/>
    <xf numFmtId="0" fontId="38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4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79">
    <xf numFmtId="0" fontId="0" fillId="0" borderId="0" xfId="0"/>
    <xf numFmtId="0" fontId="63" fillId="0" borderId="0" xfId="57"/>
    <xf numFmtId="0" fontId="5" fillId="0" borderId="0" xfId="57" applyFont="1"/>
    <xf numFmtId="0" fontId="3" fillId="0" borderId="0" xfId="57" applyFont="1" applyAlignment="1">
      <alignment horizontal="center" vertical="center"/>
    </xf>
    <xf numFmtId="0" fontId="6" fillId="0" borderId="0" xfId="57" applyFont="1" applyAlignment="1">
      <alignment vertical="center"/>
    </xf>
    <xf numFmtId="0" fontId="7" fillId="0" borderId="0" xfId="57" applyFont="1" applyAlignment="1">
      <alignment vertical="center"/>
    </xf>
    <xf numFmtId="0" fontId="8" fillId="0" borderId="0" xfId="57" applyFont="1" applyAlignment="1">
      <alignment vertical="center"/>
    </xf>
    <xf numFmtId="0" fontId="9" fillId="0" borderId="0" xfId="57" applyFont="1" applyBorder="1"/>
    <xf numFmtId="0" fontId="3" fillId="0" borderId="0" xfId="57" applyFont="1" applyFill="1" applyBorder="1" applyAlignment="1">
      <alignment horizontal="center" vertical="center"/>
    </xf>
    <xf numFmtId="0" fontId="3" fillId="0" borderId="0" xfId="57" applyFont="1" applyFill="1" applyBorder="1" applyAlignment="1">
      <alignment vertical="center"/>
    </xf>
    <xf numFmtId="0" fontId="9" fillId="0" borderId="0" xfId="57" applyFont="1"/>
    <xf numFmtId="0" fontId="4" fillId="0" borderId="0" xfId="57" applyFont="1" applyAlignment="1">
      <alignment vertical="center"/>
    </xf>
    <xf numFmtId="0" fontId="4" fillId="0" borderId="0" xfId="57" applyFont="1" applyAlignment="1">
      <alignment horizontal="center" vertical="center"/>
    </xf>
    <xf numFmtId="0" fontId="11" fillId="0" borderId="0" xfId="43" applyFont="1" applyAlignment="1">
      <alignment horizontal="right"/>
    </xf>
    <xf numFmtId="0" fontId="9" fillId="0" borderId="0" xfId="57" applyFont="1" applyFill="1"/>
    <xf numFmtId="0" fontId="12" fillId="0" borderId="0" xfId="57" applyFont="1" applyAlignment="1">
      <alignment horizontal="left" vertical="center"/>
    </xf>
    <xf numFmtId="0" fontId="14" fillId="0" borderId="0" xfId="57" applyFont="1"/>
    <xf numFmtId="0" fontId="63" fillId="0" borderId="0" xfId="57" applyBorder="1"/>
    <xf numFmtId="49" fontId="6" fillId="0" borderId="10" xfId="57" applyNumberFormat="1" applyFont="1" applyFill="1" applyBorder="1" applyAlignment="1">
      <alignment vertical="center"/>
    </xf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5" fillId="0" borderId="0" xfId="57" applyFont="1" applyBorder="1"/>
    <xf numFmtId="0" fontId="3" fillId="0" borderId="0" xfId="57" applyFont="1" applyBorder="1" applyAlignment="1">
      <alignment horizontal="center" vertical="center"/>
    </xf>
    <xf numFmtId="0" fontId="6" fillId="0" borderId="0" xfId="57" applyFont="1" applyBorder="1" applyAlignment="1">
      <alignment vertical="center"/>
    </xf>
    <xf numFmtId="0" fontId="10" fillId="0" borderId="11" xfId="43" applyFont="1" applyFill="1" applyBorder="1" applyAlignment="1">
      <alignment vertical="center" wrapText="1"/>
    </xf>
    <xf numFmtId="0" fontId="5" fillId="24" borderId="0" xfId="57" applyFont="1" applyFill="1"/>
    <xf numFmtId="0" fontId="5" fillId="24" borderId="0" xfId="57" applyFont="1" applyFill="1" applyBorder="1"/>
    <xf numFmtId="0" fontId="3" fillId="24" borderId="0" xfId="57" applyFont="1" applyFill="1" applyBorder="1" applyAlignment="1">
      <alignment horizontal="center" vertical="center"/>
    </xf>
    <xf numFmtId="0" fontId="6" fillId="24" borderId="0" xfId="57" applyFont="1" applyFill="1" applyBorder="1" applyAlignment="1">
      <alignment vertical="center"/>
    </xf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11" fillId="0" borderId="0" xfId="43" applyFont="1" applyAlignment="1">
      <alignment horizontal="right" vertical="center"/>
    </xf>
    <xf numFmtId="0" fontId="6" fillId="0" borderId="10" xfId="57" applyFont="1" applyBorder="1" applyAlignment="1">
      <alignment horizontal="left" vertical="center" wrapText="1"/>
    </xf>
    <xf numFmtId="0" fontId="6" fillId="0" borderId="11" xfId="57" applyFont="1" applyBorder="1" applyAlignment="1">
      <alignment horizontal="left"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1" applyFont="1" applyAlignment="1">
      <alignment horizontal="left"/>
    </xf>
    <xf numFmtId="0" fontId="10" fillId="0" borderId="0" xfId="41" applyFont="1" applyBorder="1" applyAlignment="1">
      <alignment horizontal="left"/>
    </xf>
    <xf numFmtId="0" fontId="10" fillId="0" borderId="0" xfId="41" applyNumberFormat="1" applyFont="1" applyBorder="1" applyAlignment="1">
      <alignment horizontal="left" vertical="center"/>
    </xf>
    <xf numFmtId="0" fontId="10" fillId="0" borderId="0" xfId="41" applyNumberFormat="1" applyFont="1" applyBorder="1" applyAlignment="1">
      <alignment vertical="center"/>
    </xf>
    <xf numFmtId="0" fontId="39" fillId="0" borderId="0" xfId="41" applyFont="1" applyAlignment="1">
      <alignment horizontal="left"/>
    </xf>
    <xf numFmtId="0" fontId="40" fillId="0" borderId="0" xfId="41" applyFont="1" applyAlignment="1">
      <alignment horizontal="left"/>
    </xf>
    <xf numFmtId="0" fontId="10" fillId="0" borderId="0" xfId="41" applyFont="1" applyAlignment="1">
      <alignment horizontal="left" vertical="center"/>
    </xf>
    <xf numFmtId="49" fontId="10" fillId="0" borderId="10" xfId="41" applyNumberFormat="1" applyFont="1" applyBorder="1" applyAlignment="1">
      <alignment horizontal="center" vertical="center"/>
    </xf>
    <xf numFmtId="0" fontId="10" fillId="0" borderId="10" xfId="41" applyFont="1" applyBorder="1" applyAlignment="1">
      <alignment horizontal="left" vertical="center" wrapText="1"/>
    </xf>
    <xf numFmtId="0" fontId="10" fillId="0" borderId="10" xfId="41" applyFont="1" applyBorder="1" applyAlignment="1">
      <alignment horizontal="center" vertical="center"/>
    </xf>
    <xf numFmtId="0" fontId="10" fillId="0" borderId="10" xfId="41" applyFont="1" applyBorder="1" applyAlignment="1">
      <alignment horizontal="left" vertical="center"/>
    </xf>
    <xf numFmtId="0" fontId="10" fillId="0" borderId="10" xfId="41" applyFont="1" applyBorder="1" applyAlignment="1">
      <alignment horizontal="center" vertical="top"/>
    </xf>
    <xf numFmtId="0" fontId="10" fillId="0" borderId="0" xfId="43" applyFont="1"/>
    <xf numFmtId="0" fontId="10" fillId="0" borderId="0" xfId="43" applyFont="1" applyFill="1"/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7" fillId="0" borderId="10" xfId="43" applyFont="1" applyFill="1" applyBorder="1" applyAlignment="1">
      <alignment horizontal="center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center" wrapText="1"/>
    </xf>
    <xf numFmtId="49" fontId="37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11" fillId="0" borderId="0" xfId="43" applyFont="1" applyFill="1" applyAlignment="1"/>
    <xf numFmtId="0" fontId="7" fillId="0" borderId="0" xfId="43" applyFont="1" applyFill="1" applyAlignment="1">
      <alignment vertical="center"/>
    </xf>
    <xf numFmtId="0" fontId="10" fillId="0" borderId="10" xfId="43" applyFont="1" applyBorder="1" applyAlignment="1">
      <alignment horizontal="center" vertical="center" wrapText="1"/>
    </xf>
    <xf numFmtId="0" fontId="37" fillId="0" borderId="10" xfId="43" applyNumberFormat="1" applyFont="1" applyFill="1" applyBorder="1" applyAlignment="1">
      <alignment horizontal="center" vertical="top" wrapText="1"/>
    </xf>
    <xf numFmtId="0" fontId="10" fillId="0" borderId="0" xfId="43" applyFont="1" applyBorder="1" applyAlignment="1"/>
    <xf numFmtId="0" fontId="10" fillId="0" borderId="0" xfId="43" applyFont="1" applyAlignment="1">
      <alignment horizontal="right"/>
    </xf>
    <xf numFmtId="0" fontId="37" fillId="0" borderId="0" xfId="43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10" xfId="41" applyFont="1" applyBorder="1" applyAlignment="1">
      <alignment horizontal="center" vertical="center" wrapText="1"/>
    </xf>
    <xf numFmtId="0" fontId="37" fillId="0" borderId="12" xfId="41" applyFont="1" applyBorder="1" applyAlignment="1">
      <alignment horizontal="center" vertical="center" wrapText="1"/>
    </xf>
    <xf numFmtId="0" fontId="37" fillId="0" borderId="10" xfId="41" applyFont="1" applyBorder="1" applyAlignment="1">
      <alignment horizontal="center" vertical="top"/>
    </xf>
    <xf numFmtId="0" fontId="35" fillId="0" borderId="0" xfId="43" applyFont="1" applyFill="1"/>
    <xf numFmtId="0" fontId="10" fillId="0" borderId="0" xfId="43" applyFill="1"/>
    <xf numFmtId="2" fontId="43" fillId="0" borderId="0" xfId="43" applyNumberFormat="1" applyFont="1" applyFill="1" applyAlignment="1">
      <alignment horizontal="right" vertical="top" wrapText="1"/>
    </xf>
    <xf numFmtId="0" fontId="35" fillId="0" borderId="0" xfId="43" applyFont="1" applyFill="1" applyAlignment="1">
      <alignment horizontal="right"/>
    </xf>
    <xf numFmtId="0" fontId="36" fillId="0" borderId="15" xfId="43" applyFont="1" applyFill="1" applyBorder="1" applyAlignment="1">
      <alignment horizontal="left" vertical="center" wrapText="1"/>
    </xf>
    <xf numFmtId="0" fontId="36" fillId="0" borderId="15" xfId="43" applyFont="1" applyFill="1" applyBorder="1" applyAlignment="1">
      <alignment horizontal="center" vertical="center" wrapText="1"/>
    </xf>
    <xf numFmtId="1" fontId="36" fillId="0" borderId="0" xfId="43" applyNumberFormat="1" applyFont="1" applyFill="1" applyAlignment="1">
      <alignment horizontal="left" vertical="top"/>
    </xf>
    <xf numFmtId="49" fontId="35" fillId="0" borderId="0" xfId="43" applyNumberFormat="1" applyFont="1" applyFill="1" applyAlignment="1">
      <alignment horizontal="left" vertical="top" wrapText="1"/>
    </xf>
    <xf numFmtId="49" fontId="35" fillId="0" borderId="0" xfId="43" applyNumberFormat="1" applyFont="1" applyFill="1" applyBorder="1" applyAlignment="1">
      <alignment horizontal="left" vertical="top"/>
    </xf>
    <xf numFmtId="0" fontId="35" fillId="0" borderId="0" xfId="43" applyFont="1" applyFill="1" applyBorder="1" applyAlignment="1">
      <alignment horizontal="center" vertical="center"/>
    </xf>
    <xf numFmtId="0" fontId="37" fillId="0" borderId="16" xfId="43" applyFont="1" applyFill="1" applyBorder="1" applyAlignment="1">
      <alignment vertical="center" wrapText="1"/>
    </xf>
    <xf numFmtId="0" fontId="37" fillId="0" borderId="17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12" xfId="41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14" fontId="35" fillId="25" borderId="10" xfId="0" applyNumberFormat="1" applyFont="1" applyFill="1" applyBorder="1" applyAlignment="1">
      <alignment horizontal="center" vertical="center" wrapText="1"/>
    </xf>
    <xf numFmtId="14" fontId="35" fillId="0" borderId="10" xfId="60" applyNumberFormat="1" applyFont="1" applyBorder="1" applyAlignment="1">
      <alignment horizontal="center" vertical="center" wrapText="1"/>
    </xf>
    <xf numFmtId="0" fontId="6" fillId="25" borderId="11" xfId="57" applyFont="1" applyFill="1" applyBorder="1" applyAlignment="1">
      <alignment vertical="center" wrapText="1"/>
    </xf>
    <xf numFmtId="0" fontId="36" fillId="0" borderId="15" xfId="43" applyFont="1" applyFill="1" applyBorder="1" applyAlignment="1">
      <alignment vertical="center" wrapText="1"/>
    </xf>
    <xf numFmtId="0" fontId="35" fillId="0" borderId="18" xfId="43" applyFont="1" applyFill="1" applyBorder="1" applyAlignment="1">
      <alignment vertical="center" wrapText="1"/>
    </xf>
    <xf numFmtId="0" fontId="35" fillId="0" borderId="19" xfId="43" applyFont="1" applyFill="1" applyBorder="1" applyAlignment="1">
      <alignment vertical="center" wrapText="1"/>
    </xf>
    <xf numFmtId="0" fontId="10" fillId="25" borderId="10" xfId="41" applyFont="1" applyFill="1" applyBorder="1" applyAlignment="1">
      <alignment horizontal="center" vertical="center" wrapText="1"/>
    </xf>
    <xf numFmtId="2" fontId="10" fillId="0" borderId="0" xfId="43" applyNumberFormat="1" applyFont="1" applyFill="1" applyBorder="1" applyAlignment="1">
      <alignment horizontal="left" vertical="center" wrapText="1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horizontal="center" vertical="center"/>
    </xf>
    <xf numFmtId="0" fontId="60" fillId="0" borderId="0" xfId="58" applyFill="1"/>
    <xf numFmtId="0" fontId="34" fillId="25" borderId="20" xfId="43" applyFont="1" applyFill="1" applyBorder="1" applyAlignment="1">
      <alignment horizontal="center" vertical="center" wrapText="1"/>
    </xf>
    <xf numFmtId="0" fontId="34" fillId="25" borderId="14" xfId="43" applyFont="1" applyFill="1" applyBorder="1" applyAlignment="1">
      <alignment horizontal="center" vertical="center" wrapText="1"/>
    </xf>
    <xf numFmtId="0" fontId="34" fillId="25" borderId="21" xfId="43" applyFont="1" applyFill="1" applyBorder="1" applyAlignment="1">
      <alignment horizontal="center" vertical="center" wrapText="1"/>
    </xf>
    <xf numFmtId="4" fontId="10" fillId="25" borderId="10" xfId="43" applyNumberFormat="1" applyFont="1" applyFill="1" applyBorder="1" applyAlignment="1">
      <alignment horizontal="center" vertical="center" wrapText="1"/>
    </xf>
    <xf numFmtId="3" fontId="10" fillId="25" borderId="10" xfId="43" applyNumberFormat="1" applyFont="1" applyFill="1" applyBorder="1" applyAlignment="1">
      <alignment horizontal="center" vertical="center" wrapText="1"/>
    </xf>
    <xf numFmtId="9" fontId="10" fillId="25" borderId="10" xfId="65" applyFont="1" applyFill="1" applyBorder="1" applyAlignment="1">
      <alignment horizontal="center" vertical="center" wrapText="1"/>
    </xf>
    <xf numFmtId="0" fontId="10" fillId="0" borderId="0" xfId="43" applyFont="1" applyAlignment="1">
      <alignment vertical="center" wrapText="1"/>
    </xf>
    <xf numFmtId="0" fontId="10" fillId="0" borderId="10" xfId="41" applyNumberFormat="1" applyFont="1" applyBorder="1" applyAlignment="1">
      <alignment horizontal="left" vertical="center" wrapText="1"/>
    </xf>
    <xf numFmtId="49" fontId="6" fillId="0" borderId="10" xfId="57" applyNumberFormat="1" applyFont="1" applyFill="1" applyBorder="1" applyAlignment="1">
      <alignment horizontal="center" vertical="center" wrapText="1"/>
    </xf>
    <xf numFmtId="0" fontId="47" fillId="0" borderId="10" xfId="57" applyFont="1" applyFill="1" applyBorder="1" applyAlignment="1">
      <alignment vertical="center" wrapText="1"/>
    </xf>
    <xf numFmtId="0" fontId="10" fillId="25" borderId="10" xfId="0" applyFont="1" applyFill="1" applyBorder="1" applyAlignment="1">
      <alignment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5" fillId="0" borderId="0" xfId="57" applyFont="1" applyFill="1"/>
    <xf numFmtId="0" fontId="34" fillId="0" borderId="10" xfId="57" applyFont="1" applyBorder="1" applyAlignment="1">
      <alignment horizontal="center" vertical="center" wrapText="1"/>
    </xf>
    <xf numFmtId="0" fontId="48" fillId="0" borderId="10" xfId="43" applyFont="1" applyFill="1" applyBorder="1" applyAlignment="1">
      <alignment horizontal="center" vertical="center" wrapText="1"/>
    </xf>
    <xf numFmtId="0" fontId="34" fillId="0" borderId="11" xfId="57" applyFont="1" applyBorder="1" applyAlignment="1">
      <alignment horizontal="center" vertical="center" wrapText="1"/>
    </xf>
    <xf numFmtId="0" fontId="49" fillId="0" borderId="0" xfId="54" applyFont="1" applyFill="1" applyAlignment="1"/>
    <xf numFmtId="0" fontId="0" fillId="0" borderId="0" xfId="0" applyFill="1"/>
    <xf numFmtId="0" fontId="49" fillId="0" borderId="0" xfId="54" applyFont="1" applyAlignment="1"/>
    <xf numFmtId="0" fontId="48" fillId="0" borderId="0" xfId="54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49" fontId="6" fillId="0" borderId="10" xfId="57" applyNumberFormat="1" applyFont="1" applyBorder="1" applyAlignment="1">
      <alignment vertical="center"/>
    </xf>
    <xf numFmtId="0" fontId="49" fillId="25" borderId="0" xfId="53" applyFont="1" applyFill="1"/>
    <xf numFmtId="0" fontId="35" fillId="0" borderId="23" xfId="43" applyFont="1" applyFill="1" applyBorder="1" applyAlignment="1">
      <alignment vertical="center" wrapText="1"/>
    </xf>
    <xf numFmtId="0" fontId="34" fillId="25" borderId="24" xfId="57" applyFont="1" applyFill="1" applyBorder="1" applyAlignment="1">
      <alignment vertical="center" wrapText="1"/>
    </xf>
    <xf numFmtId="0" fontId="34" fillId="25" borderId="22" xfId="57" applyFont="1" applyFill="1" applyBorder="1" applyAlignment="1">
      <alignment vertical="center" wrapText="1"/>
    </xf>
    <xf numFmtId="49" fontId="6" fillId="0" borderId="10" xfId="57" applyNumberFormat="1" applyFont="1" applyFill="1" applyBorder="1" applyAlignment="1">
      <alignment vertical="center" wrapText="1"/>
    </xf>
    <xf numFmtId="0" fontId="10" fillId="25" borderId="10" xfId="43" applyFont="1" applyFill="1" applyBorder="1" applyAlignment="1">
      <alignment horizontal="left" vertical="center" wrapText="1"/>
    </xf>
    <xf numFmtId="0" fontId="5" fillId="0" borderId="0" xfId="57" applyFont="1" applyAlignment="1">
      <alignment vertical="center" wrapText="1"/>
    </xf>
    <xf numFmtId="0" fontId="63" fillId="0" borderId="0" xfId="57" applyAlignment="1">
      <alignment vertical="center" wrapText="1"/>
    </xf>
    <xf numFmtId="2" fontId="54" fillId="0" borderId="10" xfId="57" applyNumberFormat="1" applyFont="1" applyBorder="1" applyAlignment="1">
      <alignment horizontal="left"/>
    </xf>
    <xf numFmtId="2" fontId="6" fillId="0" borderId="10" xfId="57" applyNumberFormat="1" applyFont="1" applyBorder="1" applyAlignment="1">
      <alignment horizontal="left"/>
    </xf>
    <xf numFmtId="0" fontId="37" fillId="0" borderId="10" xfId="43" applyNumberFormat="1" applyFont="1" applyBorder="1" applyAlignment="1">
      <alignment horizontal="center" vertical="center" wrapText="1"/>
    </xf>
    <xf numFmtId="0" fontId="37" fillId="0" borderId="10" xfId="43" applyFont="1" applyBorder="1" applyAlignment="1">
      <alignment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10" xfId="43" applyFont="1" applyBorder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Font="1" applyBorder="1" applyAlignment="1">
      <alignment horizontal="justify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10" fillId="0" borderId="10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6" fillId="26" borderId="0" xfId="53" applyFont="1" applyFill="1"/>
    <xf numFmtId="0" fontId="35" fillId="0" borderId="25" xfId="43" applyFont="1" applyFill="1" applyBorder="1" applyAlignment="1">
      <alignment horizontal="justify" vertical="center" wrapText="1"/>
    </xf>
    <xf numFmtId="2" fontId="35" fillId="0" borderId="25" xfId="43" applyNumberFormat="1" applyFont="1" applyFill="1" applyBorder="1" applyAlignment="1">
      <alignment horizontal="justify" vertical="center" wrapText="1"/>
    </xf>
    <xf numFmtId="0" fontId="36" fillId="0" borderId="25" xfId="43" applyFont="1" applyFill="1" applyBorder="1" applyAlignment="1">
      <alignment horizontal="justify" vertical="center" wrapText="1"/>
    </xf>
    <xf numFmtId="14" fontId="35" fillId="26" borderId="10" xfId="60" applyNumberFormat="1" applyFont="1" applyFill="1" applyBorder="1" applyAlignment="1">
      <alignment horizontal="center" vertical="center" wrapText="1"/>
    </xf>
    <xf numFmtId="0" fontId="10" fillId="0" borderId="10" xfId="41" applyNumberFormat="1" applyFont="1" applyBorder="1" applyAlignment="1">
      <alignment horizontal="center" vertical="center" wrapText="1"/>
    </xf>
    <xf numFmtId="2" fontId="6" fillId="26" borderId="10" xfId="57" applyNumberFormat="1" applyFont="1" applyFill="1" applyBorder="1" applyAlignment="1">
      <alignment horizontal="left" vertical="center" wrapText="1"/>
    </xf>
    <xf numFmtId="0" fontId="10" fillId="26" borderId="10" xfId="41" applyNumberFormat="1" applyFont="1" applyFill="1" applyBorder="1" applyAlignment="1">
      <alignment horizontal="left" vertical="center" wrapText="1"/>
    </xf>
    <xf numFmtId="0" fontId="10" fillId="26" borderId="10" xfId="41" applyFont="1" applyFill="1" applyBorder="1" applyAlignment="1">
      <alignment horizontal="left" vertical="center" wrapText="1"/>
    </xf>
    <xf numFmtId="9" fontId="10" fillId="0" borderId="10" xfId="65" applyFont="1" applyFill="1" applyBorder="1" applyAlignment="1">
      <alignment horizontal="center" vertical="center" wrapText="1"/>
    </xf>
    <xf numFmtId="0" fontId="56" fillId="25" borderId="0" xfId="53" applyFont="1" applyFill="1"/>
    <xf numFmtId="0" fontId="10" fillId="0" borderId="0" xfId="43" applyFill="1" applyAlignment="1">
      <alignment vertical="center" wrapText="1"/>
    </xf>
    <xf numFmtId="0" fontId="35" fillId="0" borderId="15" xfId="43" applyFont="1" applyFill="1" applyBorder="1" applyAlignment="1">
      <alignment horizontal="justify" vertical="center" wrapText="1"/>
    </xf>
    <xf numFmtId="0" fontId="36" fillId="0" borderId="25" xfId="43" applyFont="1" applyFill="1" applyBorder="1" applyAlignment="1">
      <alignment vertical="center" wrapText="1"/>
    </xf>
    <xf numFmtId="0" fontId="36" fillId="0" borderId="19" xfId="43" applyFont="1" applyFill="1" applyBorder="1" applyAlignment="1">
      <alignment vertical="center" wrapText="1"/>
    </xf>
    <xf numFmtId="0" fontId="35" fillId="0" borderId="26" xfId="43" applyFont="1" applyFill="1" applyBorder="1" applyAlignment="1">
      <alignment horizontal="justify" vertical="center" wrapText="1"/>
    </xf>
    <xf numFmtId="0" fontId="36" fillId="0" borderId="19" xfId="43" applyFont="1" applyFill="1" applyBorder="1" applyAlignment="1">
      <alignment horizontal="justify" vertical="center" wrapText="1"/>
    </xf>
    <xf numFmtId="9" fontId="35" fillId="0" borderId="25" xfId="65" applyFont="1" applyFill="1" applyBorder="1" applyAlignment="1">
      <alignment horizontal="justify" vertical="center" wrapText="1"/>
    </xf>
    <xf numFmtId="0" fontId="35" fillId="0" borderId="15" xfId="43" applyFont="1" applyFill="1" applyBorder="1" applyAlignment="1">
      <alignment vertical="center" wrapText="1"/>
    </xf>
    <xf numFmtId="0" fontId="35" fillId="0" borderId="25" xfId="43" applyFont="1" applyFill="1" applyBorder="1" applyAlignment="1">
      <alignment vertical="center" wrapText="1"/>
    </xf>
    <xf numFmtId="0" fontId="35" fillId="0" borderId="27" xfId="43" applyFont="1" applyFill="1" applyBorder="1" applyAlignment="1">
      <alignment horizontal="justify" vertical="center" wrapText="1"/>
    </xf>
    <xf numFmtId="0" fontId="35" fillId="0" borderId="28" xfId="43" applyFont="1" applyFill="1" applyBorder="1" applyAlignment="1">
      <alignment horizontal="justify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4" fillId="0" borderId="10" xfId="57" applyFont="1" applyBorder="1" applyAlignment="1">
      <alignment vertical="center" wrapText="1"/>
    </xf>
    <xf numFmtId="0" fontId="63" fillId="0" borderId="10" xfId="57" applyBorder="1" applyAlignment="1">
      <alignment vertical="center" wrapText="1"/>
    </xf>
    <xf numFmtId="0" fontId="49" fillId="25" borderId="10" xfId="53" applyFont="1" applyFill="1" applyBorder="1" applyAlignment="1">
      <alignment horizontal="center" vertical="center" wrapText="1"/>
    </xf>
    <xf numFmtId="0" fontId="49" fillId="25" borderId="0" xfId="53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10" fillId="0" borderId="10" xfId="41" applyFont="1" applyBorder="1" applyAlignment="1">
      <alignment horizontal="center" vertical="center" wrapText="1"/>
    </xf>
    <xf numFmtId="49" fontId="10" fillId="0" borderId="10" xfId="41" applyNumberFormat="1" applyFont="1" applyBorder="1" applyAlignment="1">
      <alignment horizontal="center" vertical="center" wrapText="1"/>
    </xf>
    <xf numFmtId="0" fontId="10" fillId="0" borderId="0" xfId="41" applyFont="1" applyAlignment="1">
      <alignment horizontal="left" vertical="center" wrapText="1"/>
    </xf>
    <xf numFmtId="167" fontId="49" fillId="25" borderId="10" xfId="53" applyNumberFormat="1" applyFont="1" applyFill="1" applyBorder="1" applyAlignment="1">
      <alignment horizontal="center" vertical="center"/>
    </xf>
    <xf numFmtId="0" fontId="49" fillId="25" borderId="10" xfId="53" applyFont="1" applyFill="1" applyBorder="1" applyAlignment="1">
      <alignment horizontal="center" vertical="center"/>
    </xf>
    <xf numFmtId="0" fontId="49" fillId="25" borderId="10" xfId="53" applyFont="1" applyFill="1" applyBorder="1"/>
    <xf numFmtId="14" fontId="49" fillId="25" borderId="10" xfId="53" applyNumberFormat="1" applyFont="1" applyFill="1" applyBorder="1" applyAlignment="1">
      <alignment horizontal="center" vertical="center"/>
    </xf>
    <xf numFmtId="2" fontId="36" fillId="0" borderId="25" xfId="43" applyNumberFormat="1" applyFont="1" applyFill="1" applyBorder="1" applyAlignment="1">
      <alignment horizontal="justify" vertical="center" wrapText="1"/>
    </xf>
    <xf numFmtId="0" fontId="36" fillId="27" borderId="10" xfId="43" applyFont="1" applyFill="1" applyBorder="1" applyAlignment="1">
      <alignment vertical="center" wrapText="1"/>
    </xf>
    <xf numFmtId="2" fontId="36" fillId="27" borderId="10" xfId="43" applyNumberFormat="1" applyFont="1" applyFill="1" applyBorder="1" applyAlignment="1">
      <alignment horizontal="justify" vertical="center" wrapText="1"/>
    </xf>
    <xf numFmtId="0" fontId="36" fillId="0" borderId="10" xfId="43" applyFont="1" applyFill="1" applyBorder="1" applyAlignment="1">
      <alignment vertical="center" wrapText="1"/>
    </xf>
    <xf numFmtId="2" fontId="35" fillId="0" borderId="10" xfId="43" applyNumberFormat="1" applyFont="1" applyFill="1" applyBorder="1" applyAlignment="1">
      <alignment horizontal="justify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58" fillId="0" borderId="10" xfId="53" applyFont="1" applyFill="1" applyBorder="1" applyAlignment="1">
      <alignment horizontal="center" vertical="center"/>
    </xf>
    <xf numFmtId="1" fontId="59" fillId="25" borderId="14" xfId="53" applyNumberFormat="1" applyFont="1" applyFill="1" applyBorder="1" applyAlignment="1">
      <alignment horizontal="center" vertical="center" wrapText="1"/>
    </xf>
    <xf numFmtId="49" fontId="59" fillId="25" borderId="14" xfId="53" applyNumberFormat="1" applyFont="1" applyFill="1" applyBorder="1" applyAlignment="1">
      <alignment horizontal="center" vertical="center" wrapText="1"/>
    </xf>
    <xf numFmtId="49" fontId="59" fillId="25" borderId="10" xfId="53" applyNumberFormat="1" applyFont="1" applyFill="1" applyBorder="1" applyAlignment="1">
      <alignment horizontal="center" vertical="center" wrapText="1"/>
    </xf>
    <xf numFmtId="49" fontId="59" fillId="26" borderId="14" xfId="53" applyNumberFormat="1" applyFont="1" applyFill="1" applyBorder="1" applyAlignment="1">
      <alignment horizontal="center" vertical="center" wrapText="1"/>
    </xf>
    <xf numFmtId="49" fontId="59" fillId="26" borderId="10" xfId="53" applyNumberFormat="1" applyFont="1" applyFill="1" applyBorder="1" applyAlignment="1">
      <alignment horizontal="center" vertical="center" wrapText="1"/>
    </xf>
    <xf numFmtId="4" fontId="59" fillId="26" borderId="14" xfId="53" applyNumberFormat="1" applyFont="1" applyFill="1" applyBorder="1" applyAlignment="1">
      <alignment horizontal="center" vertical="center" wrapText="1"/>
    </xf>
    <xf numFmtId="49" fontId="61" fillId="26" borderId="14" xfId="29" applyNumberFormat="1" applyFill="1" applyBorder="1" applyAlignment="1">
      <alignment horizontal="center" vertical="center" wrapText="1"/>
    </xf>
    <xf numFmtId="1" fontId="59" fillId="26" borderId="10" xfId="53" applyNumberFormat="1" applyFont="1" applyFill="1" applyBorder="1" applyAlignment="1">
      <alignment horizontal="center" vertical="center" wrapText="1"/>
    </xf>
    <xf numFmtId="167" fontId="35" fillId="0" borderId="0" xfId="43" applyNumberFormat="1" applyFont="1" applyFill="1" applyAlignment="1">
      <alignment horizontal="center" vertical="center" wrapText="1"/>
    </xf>
    <xf numFmtId="49" fontId="61" fillId="26" borderId="10" xfId="29" applyNumberFormat="1" applyFill="1" applyBorder="1" applyAlignment="1">
      <alignment horizontal="center" vertical="center" wrapText="1"/>
    </xf>
    <xf numFmtId="49" fontId="59" fillId="26" borderId="11" xfId="53" applyNumberFormat="1" applyFont="1" applyFill="1" applyBorder="1" applyAlignment="1">
      <alignment horizontal="center" vertical="center" wrapText="1"/>
    </xf>
    <xf numFmtId="49" fontId="59" fillId="26" borderId="24" xfId="53" applyNumberFormat="1" applyFont="1" applyFill="1" applyBorder="1" applyAlignment="1">
      <alignment horizontal="center" vertical="center" wrapText="1"/>
    </xf>
    <xf numFmtId="49" fontId="59" fillId="26" borderId="22" xfId="53" applyNumberFormat="1" applyFont="1" applyFill="1" applyBorder="1" applyAlignment="1">
      <alignment horizontal="center" vertical="center" wrapText="1"/>
    </xf>
    <xf numFmtId="1" fontId="35" fillId="26" borderId="10" xfId="53" applyNumberFormat="1" applyFont="1" applyFill="1" applyBorder="1" applyAlignment="1">
      <alignment horizontal="center" vertical="center" wrapText="1"/>
    </xf>
    <xf numFmtId="49" fontId="35" fillId="26" borderId="10" xfId="53" applyNumberFormat="1" applyFont="1" applyFill="1" applyBorder="1" applyAlignment="1">
      <alignment horizontal="center" vertical="center" wrapText="1"/>
    </xf>
    <xf numFmtId="49" fontId="49" fillId="25" borderId="10" xfId="53" applyNumberFormat="1" applyFont="1" applyFill="1" applyBorder="1" applyAlignment="1">
      <alignment horizontal="center" vertical="center" wrapText="1"/>
    </xf>
    <xf numFmtId="0" fontId="49" fillId="0" borderId="10" xfId="53" applyFont="1" applyFill="1" applyBorder="1"/>
    <xf numFmtId="9" fontId="35" fillId="26" borderId="10" xfId="43" applyNumberFormat="1" applyFont="1" applyFill="1" applyBorder="1" applyAlignment="1">
      <alignment horizontal="justify" vertical="top" wrapText="1"/>
    </xf>
    <xf numFmtId="2" fontId="35" fillId="26" borderId="10" xfId="43" applyNumberFormat="1" applyFont="1" applyFill="1" applyBorder="1" applyAlignment="1">
      <alignment horizontal="justify" vertical="top" wrapText="1"/>
    </xf>
    <xf numFmtId="0" fontId="35" fillId="26" borderId="10" xfId="43" applyFont="1" applyFill="1" applyBorder="1" applyAlignment="1">
      <alignment vertical="top" wrapText="1"/>
    </xf>
    <xf numFmtId="0" fontId="35" fillId="26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10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left" vertical="center" wrapText="1"/>
    </xf>
    <xf numFmtId="0" fontId="34" fillId="0" borderId="10" xfId="49" applyFont="1" applyFill="1" applyBorder="1" applyAlignment="1">
      <alignment horizontal="left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5" fillId="0" borderId="10" xfId="43" applyFont="1" applyFill="1" applyBorder="1" applyAlignment="1">
      <alignment horizontal="justify"/>
    </xf>
    <xf numFmtId="2" fontId="35" fillId="0" borderId="10" xfId="43" applyNumberFormat="1" applyFont="1" applyFill="1" applyBorder="1" applyAlignment="1">
      <alignment horizontal="justify"/>
    </xf>
    <xf numFmtId="49" fontId="6" fillId="0" borderId="11" xfId="57" applyNumberFormat="1" applyFont="1" applyFill="1" applyBorder="1" applyAlignment="1">
      <alignment horizontal="center" vertical="center"/>
    </xf>
    <xf numFmtId="49" fontId="6" fillId="0" borderId="24" xfId="57" applyNumberFormat="1" applyFont="1" applyFill="1" applyBorder="1" applyAlignment="1">
      <alignment horizontal="center" vertical="center"/>
    </xf>
    <xf numFmtId="49" fontId="6" fillId="0" borderId="22" xfId="57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7" fillId="0" borderId="0" xfId="57" applyFont="1" applyAlignment="1">
      <alignment horizontal="center" vertical="center" wrapText="1"/>
    </xf>
    <xf numFmtId="0" fontId="7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5" fillId="0" borderId="0" xfId="57" applyFont="1" applyAlignment="1">
      <alignment horizontal="center" vertical="center"/>
    </xf>
    <xf numFmtId="0" fontId="45" fillId="0" borderId="0" xfId="57" applyFont="1" applyFill="1" applyAlignment="1">
      <alignment horizontal="center" vertical="center" wrapText="1"/>
    </xf>
    <xf numFmtId="0" fontId="45" fillId="0" borderId="0" xfId="57" applyFont="1" applyFill="1" applyAlignment="1">
      <alignment horizontal="center" vertical="center"/>
    </xf>
    <xf numFmtId="0" fontId="34" fillId="0" borderId="10" xfId="57" applyFont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4" fillId="0" borderId="14" xfId="57" applyFont="1" applyBorder="1" applyAlignment="1">
      <alignment horizontal="center" vertical="center" wrapText="1"/>
    </xf>
    <xf numFmtId="0" fontId="34" fillId="0" borderId="12" xfId="57" applyFont="1" applyBorder="1" applyAlignment="1">
      <alignment horizontal="center" vertical="center" wrapText="1"/>
    </xf>
    <xf numFmtId="0" fontId="6" fillId="0" borderId="16" xfId="57" applyFont="1" applyBorder="1" applyAlignment="1">
      <alignment vertical="center"/>
    </xf>
    <xf numFmtId="0" fontId="4" fillId="0" borderId="10" xfId="57" applyFont="1" applyBorder="1" applyAlignment="1">
      <alignment horizontal="center" vertical="center" wrapText="1"/>
    </xf>
    <xf numFmtId="0" fontId="37" fillId="0" borderId="11" xfId="41" applyFont="1" applyBorder="1" applyAlignment="1">
      <alignment horizontal="center" vertical="center" wrapText="1"/>
    </xf>
    <xf numFmtId="0" fontId="37" fillId="0" borderId="22" xfId="41" applyFont="1" applyBorder="1" applyAlignment="1">
      <alignment horizontal="center" vertical="center" wrapText="1"/>
    </xf>
    <xf numFmtId="0" fontId="37" fillId="0" borderId="24" xfId="41" applyFont="1" applyBorder="1" applyAlignment="1">
      <alignment horizontal="center" vertical="center" wrapText="1"/>
    </xf>
    <xf numFmtId="0" fontId="37" fillId="0" borderId="14" xfId="41" applyFont="1" applyBorder="1" applyAlignment="1">
      <alignment horizontal="center" vertical="center"/>
    </xf>
    <xf numFmtId="0" fontId="37" fillId="0" borderId="13" xfId="41" applyFont="1" applyBorder="1" applyAlignment="1">
      <alignment horizontal="center" vertical="center"/>
    </xf>
    <xf numFmtId="0" fontId="37" fillId="0" borderId="12" xfId="41" applyFont="1" applyBorder="1" applyAlignment="1">
      <alignment horizontal="center" vertical="center"/>
    </xf>
    <xf numFmtId="0" fontId="37" fillId="0" borderId="29" xfId="41" applyFont="1" applyFill="1" applyBorder="1" applyAlignment="1">
      <alignment horizontal="center" vertical="center" wrapText="1"/>
    </xf>
    <xf numFmtId="0" fontId="37" fillId="0" borderId="30" xfId="41" applyFont="1" applyFill="1" applyBorder="1" applyAlignment="1">
      <alignment horizontal="center" vertical="center" wrapText="1"/>
    </xf>
    <xf numFmtId="0" fontId="37" fillId="0" borderId="31" xfId="41" applyFont="1" applyFill="1" applyBorder="1" applyAlignment="1">
      <alignment horizontal="center" vertical="center" wrapText="1"/>
    </xf>
    <xf numFmtId="0" fontId="37" fillId="0" borderId="17" xfId="41" applyFont="1" applyFill="1" applyBorder="1" applyAlignment="1">
      <alignment horizontal="center" vertical="center" wrapText="1"/>
    </xf>
    <xf numFmtId="0" fontId="37" fillId="0" borderId="14" xfId="41" applyFont="1" applyFill="1" applyBorder="1" applyAlignment="1">
      <alignment horizontal="center" vertical="center" wrapText="1"/>
    </xf>
    <xf numFmtId="0" fontId="37" fillId="0" borderId="13" xfId="41" applyFont="1" applyFill="1" applyBorder="1" applyAlignment="1">
      <alignment horizontal="center" vertical="center" wrapText="1"/>
    </xf>
    <xf numFmtId="0" fontId="37" fillId="0" borderId="12" xfId="41" applyFont="1" applyFill="1" applyBorder="1" applyAlignment="1">
      <alignment horizontal="center" vertical="center" wrapText="1"/>
    </xf>
    <xf numFmtId="0" fontId="10" fillId="0" borderId="16" xfId="41" applyFont="1" applyBorder="1" applyAlignment="1">
      <alignment horizontal="left" vertical="center"/>
    </xf>
    <xf numFmtId="0" fontId="3" fillId="0" borderId="0" xfId="57" applyFont="1" applyAlignment="1">
      <alignment horizontal="center" vertical="center"/>
    </xf>
    <xf numFmtId="0" fontId="45" fillId="0" borderId="0" xfId="57" applyFont="1" applyAlignment="1">
      <alignment horizontal="center" vertical="center" wrapText="1"/>
    </xf>
    <xf numFmtId="0" fontId="37" fillId="0" borderId="14" xfId="41" applyFont="1" applyBorder="1" applyAlignment="1">
      <alignment horizontal="center" vertical="center" wrapText="1"/>
    </xf>
    <xf numFmtId="0" fontId="37" fillId="0" borderId="13" xfId="41" applyFont="1" applyBorder="1" applyAlignment="1">
      <alignment horizontal="center" vertical="center" wrapText="1"/>
    </xf>
    <xf numFmtId="0" fontId="37" fillId="0" borderId="12" xfId="41" applyFont="1" applyBorder="1" applyAlignment="1">
      <alignment horizontal="center" vertical="center" wrapText="1"/>
    </xf>
    <xf numFmtId="0" fontId="37" fillId="0" borderId="29" xfId="41" applyFont="1" applyBorder="1" applyAlignment="1">
      <alignment horizontal="center" vertical="center" wrapText="1"/>
    </xf>
    <xf numFmtId="0" fontId="37" fillId="0" borderId="30" xfId="41" applyFont="1" applyBorder="1" applyAlignment="1">
      <alignment horizontal="center" vertical="center" wrapText="1"/>
    </xf>
    <xf numFmtId="0" fontId="37" fillId="0" borderId="31" xfId="41" applyFont="1" applyBorder="1" applyAlignment="1">
      <alignment horizontal="center" vertical="center" wrapText="1"/>
    </xf>
    <xf numFmtId="0" fontId="37" fillId="0" borderId="17" xfId="41" applyFont="1" applyBorder="1" applyAlignment="1">
      <alignment horizontal="center" vertical="center" wrapText="1"/>
    </xf>
    <xf numFmtId="0" fontId="55" fillId="0" borderId="0" xfId="57" applyFont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9" fillId="0" borderId="0" xfId="54" applyFont="1" applyFill="1" applyAlignment="1">
      <alignment horizontal="center"/>
    </xf>
    <xf numFmtId="0" fontId="49" fillId="0" borderId="0" xfId="54" applyFont="1" applyAlignment="1">
      <alignment horizontal="center"/>
    </xf>
    <xf numFmtId="0" fontId="48" fillId="0" borderId="0" xfId="54" applyFont="1" applyFill="1" applyAlignment="1">
      <alignment horizontal="center"/>
    </xf>
    <xf numFmtId="0" fontId="34" fillId="0" borderId="11" xfId="57" applyFont="1" applyBorder="1" applyAlignment="1">
      <alignment horizontal="center" vertical="center" wrapText="1"/>
    </xf>
    <xf numFmtId="0" fontId="34" fillId="0" borderId="24" xfId="57" applyFont="1" applyBorder="1" applyAlignment="1">
      <alignment horizontal="center" vertical="center" wrapText="1"/>
    </xf>
    <xf numFmtId="0" fontId="34" fillId="0" borderId="22" xfId="57" applyFont="1" applyBorder="1" applyAlignment="1">
      <alignment horizontal="center" vertical="center" wrapText="1"/>
    </xf>
    <xf numFmtId="0" fontId="4" fillId="0" borderId="16" xfId="57" applyFont="1" applyBorder="1" applyAlignment="1">
      <alignment horizontal="center" vertical="center" wrapText="1"/>
    </xf>
    <xf numFmtId="0" fontId="34" fillId="25" borderId="32" xfId="43" applyFont="1" applyFill="1" applyBorder="1" applyAlignment="1">
      <alignment horizontal="center" vertical="center" wrapText="1"/>
    </xf>
    <xf numFmtId="0" fontId="34" fillId="25" borderId="10" xfId="43" applyFont="1" applyFill="1" applyBorder="1" applyAlignment="1">
      <alignment horizontal="center" vertical="center" wrapText="1"/>
    </xf>
    <xf numFmtId="0" fontId="34" fillId="25" borderId="33" xfId="43" applyFont="1" applyFill="1" applyBorder="1" applyAlignment="1">
      <alignment horizontal="center" vertical="center" wrapText="1"/>
    </xf>
    <xf numFmtId="0" fontId="6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0" fontId="34" fillId="25" borderId="34" xfId="43" applyFont="1" applyFill="1" applyBorder="1" applyAlignment="1">
      <alignment horizontal="center" vertical="center" wrapText="1"/>
    </xf>
    <xf numFmtId="0" fontId="34" fillId="25" borderId="35" xfId="43" applyFont="1" applyFill="1" applyBorder="1" applyAlignment="1">
      <alignment horizontal="center" vertical="center" wrapText="1"/>
    </xf>
    <xf numFmtId="0" fontId="34" fillId="25" borderId="36" xfId="43" applyFont="1" applyFill="1" applyBorder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37" fillId="0" borderId="10" xfId="43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center" vertical="center" wrapText="1"/>
    </xf>
    <xf numFmtId="0" fontId="37" fillId="0" borderId="17" xfId="43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2" xfId="43" applyFont="1" applyFill="1" applyBorder="1" applyAlignment="1">
      <alignment horizontal="center" vertical="center" wrapText="1"/>
    </xf>
    <xf numFmtId="0" fontId="37" fillId="0" borderId="10" xfId="43" applyNumberFormat="1" applyFont="1" applyFill="1" applyBorder="1" applyAlignment="1">
      <alignment horizontal="center" vertical="center" wrapText="1"/>
    </xf>
    <xf numFmtId="0" fontId="37" fillId="0" borderId="14" xfId="43" applyNumberFormat="1" applyFont="1" applyFill="1" applyBorder="1" applyAlignment="1">
      <alignment horizontal="center" vertical="center" wrapText="1"/>
    </xf>
    <xf numFmtId="0" fontId="37" fillId="0" borderId="13" xfId="43" applyNumberFormat="1" applyFont="1" applyFill="1" applyBorder="1" applyAlignment="1">
      <alignment horizontal="center" vertical="center" wrapText="1"/>
    </xf>
    <xf numFmtId="0" fontId="37" fillId="0" borderId="12" xfId="43" applyNumberFormat="1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center" vertical="center"/>
    </xf>
    <xf numFmtId="0" fontId="37" fillId="0" borderId="0" xfId="43" applyFont="1" applyFill="1" applyAlignment="1">
      <alignment horizontal="center" vertical="top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7" fillId="0" borderId="14" xfId="43" applyFont="1" applyFill="1" applyBorder="1" applyAlignment="1">
      <alignment horizontal="center" vertical="center" wrapText="1"/>
    </xf>
    <xf numFmtId="0" fontId="37" fillId="0" borderId="13" xfId="43" applyFont="1" applyFill="1" applyBorder="1" applyAlignment="1">
      <alignment horizontal="center" vertical="center" wrapText="1"/>
    </xf>
    <xf numFmtId="0" fontId="10" fillId="0" borderId="10" xfId="43" applyFont="1" applyFill="1" applyBorder="1" applyAlignment="1">
      <alignment horizontal="center" vertical="center"/>
    </xf>
    <xf numFmtId="0" fontId="37" fillId="0" borderId="0" xfId="43" applyFont="1" applyFill="1" applyAlignment="1">
      <alignment horizontal="center"/>
    </xf>
    <xf numFmtId="0" fontId="10" fillId="0" borderId="0" xfId="43" applyFont="1" applyFill="1" applyAlignment="1">
      <alignment horizontal="center"/>
    </xf>
    <xf numFmtId="0" fontId="10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center" vertical="center" wrapText="1"/>
    </xf>
    <xf numFmtId="0" fontId="10" fillId="0" borderId="12" xfId="43" applyFont="1" applyFill="1" applyBorder="1" applyAlignment="1">
      <alignment horizontal="center" vertical="center" wrapText="1"/>
    </xf>
    <xf numFmtId="0" fontId="10" fillId="0" borderId="10" xfId="61" applyFont="1" applyFill="1" applyBorder="1" applyAlignment="1">
      <alignment horizontal="center" vertical="center"/>
    </xf>
    <xf numFmtId="0" fontId="34" fillId="0" borderId="14" xfId="49" applyFont="1" applyFill="1" applyBorder="1" applyAlignment="1">
      <alignment horizontal="center" vertical="center" textRotation="90" wrapText="1"/>
    </xf>
    <xf numFmtId="0" fontId="34" fillId="0" borderId="12" xfId="49" applyFont="1" applyFill="1" applyBorder="1" applyAlignment="1">
      <alignment horizontal="center" vertical="center" textRotation="90" wrapText="1"/>
    </xf>
    <xf numFmtId="0" fontId="34" fillId="0" borderId="14" xfId="53" applyFont="1" applyFill="1" applyBorder="1" applyAlignment="1">
      <alignment horizontal="center" vertical="center" textRotation="90" wrapText="1"/>
    </xf>
    <xf numFmtId="0" fontId="34" fillId="0" borderId="12" xfId="53" applyFont="1" applyFill="1" applyBorder="1" applyAlignment="1">
      <alignment horizontal="center" vertical="center" textRotation="90" wrapText="1"/>
    </xf>
    <xf numFmtId="0" fontId="37" fillId="25" borderId="0" xfId="0" applyFont="1" applyFill="1" applyAlignment="1">
      <alignment horizontal="center" vertical="center"/>
    </xf>
    <xf numFmtId="0" fontId="4" fillId="25" borderId="0" xfId="57" applyFont="1" applyFill="1" applyAlignment="1">
      <alignment horizontal="center" vertical="center"/>
    </xf>
    <xf numFmtId="0" fontId="45" fillId="25" borderId="0" xfId="57" applyFont="1" applyFill="1" applyAlignment="1">
      <alignment horizontal="center" vertical="center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6" fillId="25" borderId="0" xfId="57" applyFont="1" applyFill="1" applyAlignment="1">
      <alignment horizontal="center" vertical="center"/>
    </xf>
    <xf numFmtId="0" fontId="3" fillId="25" borderId="0" xfId="57" applyFont="1" applyFill="1" applyBorder="1" applyAlignment="1">
      <alignment horizontal="center" vertical="center"/>
    </xf>
    <xf numFmtId="0" fontId="49" fillId="25" borderId="0" xfId="53" applyFont="1" applyFill="1" applyAlignment="1">
      <alignment horizontal="center"/>
    </xf>
    <xf numFmtId="0" fontId="34" fillId="0" borderId="10" xfId="53" applyFont="1" applyFill="1" applyBorder="1" applyAlignment="1">
      <alignment horizontal="center" vertical="center" wrapText="1"/>
    </xf>
    <xf numFmtId="0" fontId="48" fillId="25" borderId="16" xfId="53" applyFont="1" applyFill="1" applyBorder="1" applyAlignment="1">
      <alignment horizontal="center"/>
    </xf>
    <xf numFmtId="0" fontId="34" fillId="0" borderId="29" xfId="53" applyFont="1" applyFill="1" applyBorder="1" applyAlignment="1">
      <alignment horizontal="center" vertical="center" wrapText="1"/>
    </xf>
    <xf numFmtId="0" fontId="34" fillId="0" borderId="38" xfId="53" applyFont="1" applyFill="1" applyBorder="1" applyAlignment="1">
      <alignment horizontal="center" vertical="center" wrapText="1"/>
    </xf>
    <xf numFmtId="0" fontId="34" fillId="0" borderId="31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textRotation="90" wrapText="1"/>
    </xf>
    <xf numFmtId="0" fontId="37" fillId="0" borderId="14" xfId="43" applyFont="1" applyFill="1" applyBorder="1" applyAlignment="1">
      <alignment horizontal="center" vertical="center" textRotation="90" wrapText="1"/>
    </xf>
    <xf numFmtId="0" fontId="37" fillId="0" borderId="12" xfId="43" applyFont="1" applyFill="1" applyBorder="1" applyAlignment="1">
      <alignment horizontal="center" vertical="center" textRotation="90" wrapText="1"/>
    </xf>
    <xf numFmtId="0" fontId="34" fillId="0" borderId="11" xfId="53" applyFont="1" applyFill="1" applyBorder="1" applyAlignment="1">
      <alignment horizontal="center" vertical="center" wrapText="1"/>
    </xf>
    <xf numFmtId="0" fontId="34" fillId="0" borderId="24" xfId="53" applyFont="1" applyFill="1" applyBorder="1" applyAlignment="1">
      <alignment horizontal="center" vertical="center" wrapText="1"/>
    </xf>
    <xf numFmtId="0" fontId="34" fillId="0" borderId="22" xfId="53" applyFont="1" applyFill="1" applyBorder="1" applyAlignment="1">
      <alignment horizontal="center" vertical="center" wrapText="1"/>
    </xf>
    <xf numFmtId="0" fontId="49" fillId="25" borderId="11" xfId="53" applyFont="1" applyFill="1" applyBorder="1" applyAlignment="1">
      <alignment horizontal="center" vertical="center" wrapText="1"/>
    </xf>
    <xf numFmtId="0" fontId="49" fillId="25" borderId="24" xfId="53" applyFont="1" applyFill="1" applyBorder="1" applyAlignment="1">
      <alignment horizontal="center" vertical="center" wrapText="1"/>
    </xf>
    <xf numFmtId="0" fontId="49" fillId="25" borderId="22" xfId="53" applyFont="1" applyFill="1" applyBorder="1" applyAlignment="1">
      <alignment horizontal="center" vertical="center" wrapText="1"/>
    </xf>
    <xf numFmtId="49" fontId="59" fillId="26" borderId="11" xfId="53" applyNumberFormat="1" applyFont="1" applyFill="1" applyBorder="1" applyAlignment="1">
      <alignment horizontal="center" vertical="center" wrapText="1"/>
    </xf>
    <xf numFmtId="49" fontId="59" fillId="26" borderId="24" xfId="53" applyNumberFormat="1" applyFont="1" applyFill="1" applyBorder="1" applyAlignment="1">
      <alignment horizontal="center" vertical="center" wrapText="1"/>
    </xf>
    <xf numFmtId="49" fontId="59" fillId="26" borderId="22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0" fontId="37" fillId="0" borderId="10" xfId="53" applyFont="1" applyFill="1" applyBorder="1" applyAlignment="1" applyProtection="1">
      <alignment horizontal="center" vertical="center" textRotation="90" wrapText="1"/>
    </xf>
    <xf numFmtId="0" fontId="57" fillId="0" borderId="10" xfId="53" applyFont="1" applyFill="1" applyBorder="1" applyAlignment="1">
      <alignment horizontal="center" vertical="center" wrapText="1"/>
    </xf>
    <xf numFmtId="0" fontId="48" fillId="0" borderId="10" xfId="53" applyFont="1" applyFill="1" applyBorder="1" applyAlignment="1">
      <alignment horizontal="center" vertical="center" wrapText="1"/>
    </xf>
    <xf numFmtId="0" fontId="37" fillId="0" borderId="14" xfId="53" applyFont="1" applyFill="1" applyBorder="1" applyAlignment="1" applyProtection="1">
      <alignment horizontal="center" vertical="center" wrapText="1"/>
    </xf>
    <xf numFmtId="0" fontId="37" fillId="0" borderId="12" xfId="53" applyFont="1" applyFill="1" applyBorder="1" applyAlignment="1" applyProtection="1">
      <alignment horizontal="center" vertical="center" wrapText="1"/>
    </xf>
    <xf numFmtId="49" fontId="59" fillId="26" borderId="29" xfId="53" applyNumberFormat="1" applyFont="1" applyFill="1" applyBorder="1" applyAlignment="1">
      <alignment horizontal="center" vertical="center" wrapText="1"/>
    </xf>
    <xf numFmtId="49" fontId="59" fillId="26" borderId="37" xfId="53" applyNumberFormat="1" applyFont="1" applyFill="1" applyBorder="1" applyAlignment="1">
      <alignment horizontal="center" vertical="center" wrapText="1"/>
    </xf>
    <xf numFmtId="49" fontId="59" fillId="26" borderId="30" xfId="53" applyNumberFormat="1" applyFont="1" applyFill="1" applyBorder="1" applyAlignment="1">
      <alignment horizontal="center" vertical="center" wrapText="1"/>
    </xf>
    <xf numFmtId="49" fontId="49" fillId="26" borderId="10" xfId="53" applyNumberFormat="1" applyFont="1" applyFill="1" applyBorder="1" applyAlignment="1">
      <alignment horizontal="center" vertical="center" wrapText="1"/>
    </xf>
    <xf numFmtId="0" fontId="35" fillId="0" borderId="15" xfId="43" applyFont="1" applyFill="1" applyBorder="1" applyAlignment="1">
      <alignment horizontal="left" vertical="center" wrapText="1"/>
    </xf>
    <xf numFmtId="0" fontId="35" fillId="0" borderId="18" xfId="43" applyFont="1" applyFill="1" applyBorder="1" applyAlignment="1">
      <alignment horizontal="left" vertical="center" wrapText="1"/>
    </xf>
    <xf numFmtId="0" fontId="35" fillId="0" borderId="19" xfId="43" applyFont="1" applyFill="1" applyBorder="1" applyAlignment="1">
      <alignment horizontal="left" vertical="center" wrapText="1"/>
    </xf>
    <xf numFmtId="0" fontId="36" fillId="0" borderId="0" xfId="43" applyFont="1" applyFill="1" applyAlignment="1">
      <alignment horizontal="center" wrapText="1"/>
    </xf>
    <xf numFmtId="0" fontId="36" fillId="0" borderId="0" xfId="43" applyFont="1" applyFill="1" applyAlignment="1">
      <alignment horizontal="center"/>
    </xf>
    <xf numFmtId="0" fontId="42" fillId="0" borderId="0" xfId="43" applyFont="1" applyFill="1" applyAlignment="1">
      <alignment horizont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29" builtinId="8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tabSelected="1" view="pageBreakPreview" zoomScale="70" zoomScaleNormal="100" zoomScaleSheetLayoutView="7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3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48" t="s">
        <v>531</v>
      </c>
      <c r="B5" s="248"/>
      <c r="C5" s="248"/>
      <c r="D5" s="92"/>
      <c r="E5" s="92"/>
      <c r="F5" s="92"/>
      <c r="G5" s="92"/>
      <c r="H5" s="92"/>
      <c r="I5" s="92"/>
      <c r="J5" s="9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52" t="s">
        <v>5</v>
      </c>
      <c r="B7" s="252"/>
      <c r="C7" s="25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53" t="s">
        <v>281</v>
      </c>
      <c r="B9" s="253"/>
      <c r="C9" s="253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49" t="s">
        <v>4</v>
      </c>
      <c r="B10" s="249"/>
      <c r="C10" s="24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53" t="s">
        <v>442</v>
      </c>
      <c r="B12" s="253"/>
      <c r="C12" s="253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49" t="s">
        <v>3</v>
      </c>
      <c r="B13" s="249"/>
      <c r="C13" s="24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57.75" customHeight="1" x14ac:dyDescent="0.2">
      <c r="A15" s="254" t="str">
        <f>VLOOKUP(A12,'[1]6.2. отчет'!$A:$C,3,0)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5" s="255"/>
      <c r="C15" s="25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49" t="s">
        <v>2</v>
      </c>
      <c r="B16" s="249"/>
      <c r="C16" s="24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50" t="s">
        <v>268</v>
      </c>
      <c r="B18" s="251"/>
      <c r="C18" s="25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93" t="s">
        <v>1</v>
      </c>
      <c r="B20" s="127" t="s">
        <v>20</v>
      </c>
      <c r="C20" s="125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125">
        <v>1</v>
      </c>
      <c r="B21" s="127">
        <v>2</v>
      </c>
      <c r="C21" s="125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57.75" customHeight="1" x14ac:dyDescent="0.2">
      <c r="A22" s="18" t="s">
        <v>18</v>
      </c>
      <c r="B22" s="35" t="s">
        <v>155</v>
      </c>
      <c r="C22" s="89" t="s">
        <v>462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55.5" customHeight="1" x14ac:dyDescent="0.2">
      <c r="A23" s="18" t="s">
        <v>17</v>
      </c>
      <c r="B23" s="30" t="s">
        <v>293</v>
      </c>
      <c r="C23" s="97" t="s">
        <v>463</v>
      </c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50"/>
      <c r="S23" s="22"/>
      <c r="T23" s="21"/>
      <c r="U23" s="21"/>
      <c r="V23" s="21"/>
    </row>
    <row r="24" spans="1:22" s="2" customFormat="1" ht="22.5" customHeight="1" x14ac:dyDescent="0.2">
      <c r="A24" s="245"/>
      <c r="B24" s="246"/>
      <c r="C24" s="247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25" customFormat="1" ht="58.5" customHeight="1" x14ac:dyDescent="0.2">
      <c r="A25" s="18" t="s">
        <v>16</v>
      </c>
      <c r="B25" s="89" t="s">
        <v>231</v>
      </c>
      <c r="C25" s="29" t="s">
        <v>294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8" t="s">
        <v>15</v>
      </c>
      <c r="B26" s="89" t="s">
        <v>28</v>
      </c>
      <c r="C26" s="29" t="s">
        <v>277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8" t="s">
        <v>13</v>
      </c>
      <c r="B27" s="89" t="s">
        <v>27</v>
      </c>
      <c r="C27" s="29" t="s">
        <v>464</v>
      </c>
      <c r="D27" s="28"/>
      <c r="E27" s="28"/>
      <c r="F27" s="169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8" t="s">
        <v>12</v>
      </c>
      <c r="B28" s="89" t="s">
        <v>232</v>
      </c>
      <c r="C28" s="29" t="s">
        <v>465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8" t="s">
        <v>10</v>
      </c>
      <c r="B29" s="89" t="s">
        <v>233</v>
      </c>
      <c r="C29" s="29" t="s">
        <v>278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8" t="s">
        <v>8</v>
      </c>
      <c r="B30" s="89" t="s">
        <v>234</v>
      </c>
      <c r="C30" s="29" t="s">
        <v>466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8" t="s">
        <v>26</v>
      </c>
      <c r="B31" s="34" t="s">
        <v>235</v>
      </c>
      <c r="C31" s="29" t="s">
        <v>465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8" t="s">
        <v>24</v>
      </c>
      <c r="B32" s="34" t="s">
        <v>236</v>
      </c>
      <c r="C32" s="29" t="s">
        <v>466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8" t="s">
        <v>23</v>
      </c>
      <c r="B33" s="34" t="s">
        <v>237</v>
      </c>
      <c r="C33" s="34" t="s">
        <v>467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8" t="s">
        <v>246</v>
      </c>
      <c r="B34" s="34" t="s">
        <v>238</v>
      </c>
      <c r="C34" s="19" t="s">
        <v>278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241</v>
      </c>
      <c r="B35" s="34" t="s">
        <v>25</v>
      </c>
      <c r="C35" s="19" t="s">
        <v>278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247</v>
      </c>
      <c r="B36" s="34" t="s">
        <v>239</v>
      </c>
      <c r="C36" s="19" t="s">
        <v>466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242</v>
      </c>
      <c r="B37" s="34" t="s">
        <v>240</v>
      </c>
      <c r="C37" s="19" t="s">
        <v>466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248</v>
      </c>
      <c r="B38" s="34" t="s">
        <v>151</v>
      </c>
      <c r="C38" s="19" t="s">
        <v>466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45"/>
      <c r="B39" s="246"/>
      <c r="C39" s="24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" t="s">
        <v>243</v>
      </c>
      <c r="B40" s="34" t="s">
        <v>269</v>
      </c>
      <c r="C40" s="194" t="s">
        <v>468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01.25" customHeight="1" x14ac:dyDescent="0.25">
      <c r="A41" s="120" t="s">
        <v>249</v>
      </c>
      <c r="B41" s="89" t="s">
        <v>295</v>
      </c>
      <c r="C41" s="121" t="s">
        <v>278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72" customHeight="1" x14ac:dyDescent="0.25">
      <c r="A42" s="120" t="s">
        <v>244</v>
      </c>
      <c r="B42" s="89" t="s">
        <v>296</v>
      </c>
      <c r="C42" s="122" t="s">
        <v>469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41" customHeight="1" x14ac:dyDescent="0.25">
      <c r="A43" s="120" t="s">
        <v>251</v>
      </c>
      <c r="B43" s="89" t="s">
        <v>297</v>
      </c>
      <c r="C43" s="121" t="s">
        <v>278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01.25" customHeight="1" x14ac:dyDescent="0.25">
      <c r="A44" s="120" t="s">
        <v>245</v>
      </c>
      <c r="B44" s="89" t="s">
        <v>298</v>
      </c>
      <c r="C44" s="123" t="s">
        <v>278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20" t="s">
        <v>299</v>
      </c>
      <c r="B45" s="89" t="s">
        <v>300</v>
      </c>
      <c r="C45" s="123" t="s">
        <v>278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5" customHeight="1" x14ac:dyDescent="0.25">
      <c r="A46" s="120" t="s">
        <v>302</v>
      </c>
      <c r="B46" s="89" t="s">
        <v>269</v>
      </c>
      <c r="C46" s="123" t="s">
        <v>470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75.75" customHeight="1" x14ac:dyDescent="0.25">
      <c r="A47" s="18" t="s">
        <v>303</v>
      </c>
      <c r="B47" s="34" t="s">
        <v>274</v>
      </c>
      <c r="C47" s="155">
        <f>'6.2. Паспорт фин осв ввод'!D24</f>
        <v>29.797130832000001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71.25" customHeight="1" x14ac:dyDescent="0.25">
      <c r="A48" s="18" t="s">
        <v>304</v>
      </c>
      <c r="B48" s="34" t="s">
        <v>275</v>
      </c>
      <c r="C48" s="156">
        <f>'6.2. Паспорт фин осв ввод'!D30</f>
        <v>102.79228253999999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</row>
  </sheetData>
  <mergeCells count="11"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  <mergeCell ref="A24:C24"/>
  </mergeCells>
  <phoneticPr fontId="46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zoomScale="60" zoomScaleNormal="60" workbookViewId="0">
      <selection activeCell="O41" sqref="O41"/>
    </sheetView>
  </sheetViews>
  <sheetFormatPr defaultRowHeight="15.75" x14ac:dyDescent="0.25"/>
  <cols>
    <col min="1" max="1" width="9.140625" style="50"/>
    <col min="2" max="2" width="57.85546875" style="50" customWidth="1"/>
    <col min="3" max="3" width="14.85546875" style="50" customWidth="1"/>
    <col min="4" max="4" width="13.85546875" style="50" customWidth="1"/>
    <col min="5" max="5" width="18.5703125" style="50" customWidth="1"/>
    <col min="6" max="6" width="18.42578125" style="50" customWidth="1"/>
    <col min="7" max="7" width="12.85546875" style="51" customWidth="1"/>
    <col min="8" max="8" width="11.85546875" style="51" customWidth="1"/>
    <col min="9" max="9" width="10" style="51" customWidth="1"/>
    <col min="10" max="10" width="9.85546875" style="51" customWidth="1"/>
    <col min="11" max="11" width="9.28515625" style="51" customWidth="1"/>
    <col min="12" max="16384" width="9.140625" style="50"/>
  </cols>
  <sheetData>
    <row r="1" spans="1:11" x14ac:dyDescent="0.25">
      <c r="A1" s="51"/>
      <c r="B1" s="51"/>
      <c r="C1" s="51"/>
      <c r="D1" s="51"/>
      <c r="E1" s="51"/>
      <c r="F1" s="51"/>
    </row>
    <row r="2" spans="1:11" x14ac:dyDescent="0.25">
      <c r="A2" s="51"/>
      <c r="B2" s="51"/>
      <c r="C2" s="51"/>
      <c r="D2" s="51"/>
      <c r="E2" s="51"/>
      <c r="F2" s="51"/>
    </row>
    <row r="3" spans="1:11" x14ac:dyDescent="0.25">
      <c r="A3" s="51"/>
      <c r="B3" s="51"/>
      <c r="C3" s="51"/>
      <c r="D3" s="51"/>
      <c r="E3" s="51"/>
      <c r="F3" s="51"/>
    </row>
    <row r="4" spans="1:11" ht="18.75" customHeight="1" x14ac:dyDescent="0.25">
      <c r="A4" s="248" t="str">
        <f>'8. Общие сведения'!$A$5</f>
        <v>Год раскрытия информации: 2019 год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</row>
    <row r="5" spans="1:11" x14ac:dyDescent="0.25">
      <c r="A5" s="51"/>
      <c r="B5" s="51"/>
      <c r="C5" s="51"/>
      <c r="D5" s="51"/>
      <c r="E5" s="51"/>
      <c r="F5" s="51"/>
    </row>
    <row r="6" spans="1:11" ht="18.75" x14ac:dyDescent="0.25">
      <c r="A6" s="252" t="s">
        <v>5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</row>
    <row r="7" spans="1:1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6"/>
      <c r="K7" s="66"/>
    </row>
    <row r="8" spans="1:11" x14ac:dyDescent="0.25">
      <c r="A8" s="253" t="s">
        <v>281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</row>
    <row r="9" spans="1:11" ht="18.75" customHeight="1" x14ac:dyDescent="0.25">
      <c r="A9" s="249" t="s">
        <v>4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</row>
    <row r="10" spans="1:1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6"/>
      <c r="K10" s="66"/>
    </row>
    <row r="11" spans="1:11" x14ac:dyDescent="0.25">
      <c r="A11" s="253" t="str">
        <f>'1. паспорт местоположение'!$A$12</f>
        <v>I_Che152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</row>
    <row r="12" spans="1:11" x14ac:dyDescent="0.25">
      <c r="A12" s="249" t="s">
        <v>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5"/>
      <c r="K13" s="65"/>
    </row>
    <row r="14" spans="1:11" ht="51.75" customHeight="1" x14ac:dyDescent="0.25">
      <c r="A14" s="286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</row>
    <row r="15" spans="1:11" ht="15.75" customHeight="1" x14ac:dyDescent="0.25">
      <c r="A15" s="249" t="s">
        <v>2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</row>
    <row r="16" spans="1:11" x14ac:dyDescent="0.25">
      <c r="A16" s="326"/>
      <c r="B16" s="326"/>
      <c r="C16" s="326"/>
      <c r="D16" s="326"/>
      <c r="E16" s="326"/>
      <c r="F16" s="326"/>
      <c r="G16" s="326"/>
      <c r="H16" s="326"/>
      <c r="I16" s="326"/>
      <c r="J16" s="326"/>
      <c r="K16" s="326"/>
    </row>
    <row r="17" spans="1:11" x14ac:dyDescent="0.25">
      <c r="A17" s="51"/>
    </row>
    <row r="18" spans="1:11" x14ac:dyDescent="0.25">
      <c r="A18" s="325" t="s">
        <v>257</v>
      </c>
      <c r="B18" s="325"/>
      <c r="C18" s="325"/>
      <c r="D18" s="325"/>
      <c r="E18" s="325"/>
      <c r="F18" s="325"/>
      <c r="G18" s="325"/>
      <c r="H18" s="325"/>
      <c r="I18" s="325"/>
      <c r="J18" s="325"/>
      <c r="K18" s="325"/>
    </row>
    <row r="19" spans="1:11" x14ac:dyDescent="0.25">
      <c r="A19" s="51"/>
      <c r="B19" s="51"/>
      <c r="C19" s="51"/>
      <c r="D19" s="51"/>
      <c r="E19" s="51"/>
      <c r="F19" s="51"/>
    </row>
    <row r="20" spans="1:11" ht="33" customHeight="1" x14ac:dyDescent="0.25">
      <c r="A20" s="322" t="s">
        <v>107</v>
      </c>
      <c r="B20" s="322" t="s">
        <v>106</v>
      </c>
      <c r="C20" s="327" t="s">
        <v>105</v>
      </c>
      <c r="D20" s="327"/>
      <c r="E20" s="324" t="s">
        <v>104</v>
      </c>
      <c r="F20" s="324"/>
      <c r="G20" s="328" t="s">
        <v>525</v>
      </c>
      <c r="H20" s="331" t="s">
        <v>526</v>
      </c>
      <c r="I20" s="331"/>
      <c r="J20" s="331"/>
      <c r="K20" s="331"/>
    </row>
    <row r="21" spans="1:11" ht="36" customHeight="1" x14ac:dyDescent="0.25">
      <c r="A21" s="323"/>
      <c r="B21" s="323"/>
      <c r="C21" s="327"/>
      <c r="D21" s="327"/>
      <c r="E21" s="324"/>
      <c r="F21" s="324"/>
      <c r="G21" s="329"/>
      <c r="H21" s="327" t="s">
        <v>0</v>
      </c>
      <c r="I21" s="327"/>
      <c r="J21" s="327" t="s">
        <v>430</v>
      </c>
      <c r="K21" s="327"/>
    </row>
    <row r="22" spans="1:11" ht="89.25" customHeight="1" x14ac:dyDescent="0.25">
      <c r="A22" s="311"/>
      <c r="B22" s="311"/>
      <c r="C22" s="236" t="s">
        <v>0</v>
      </c>
      <c r="D22" s="236" t="s">
        <v>430</v>
      </c>
      <c r="E22" s="236" t="s">
        <v>527</v>
      </c>
      <c r="F22" s="236" t="s">
        <v>528</v>
      </c>
      <c r="G22" s="330"/>
      <c r="H22" s="237" t="s">
        <v>529</v>
      </c>
      <c r="I22" s="237" t="s">
        <v>530</v>
      </c>
      <c r="J22" s="237" t="s">
        <v>529</v>
      </c>
      <c r="K22" s="237" t="s">
        <v>530</v>
      </c>
    </row>
    <row r="23" spans="1:11" ht="19.5" customHeight="1" x14ac:dyDescent="0.25">
      <c r="A23" s="234">
        <v>1</v>
      </c>
      <c r="B23" s="234">
        <v>2</v>
      </c>
      <c r="C23" s="168">
        <v>3</v>
      </c>
      <c r="D23" s="168">
        <v>4</v>
      </c>
      <c r="E23" s="168">
        <v>5</v>
      </c>
      <c r="F23" s="168">
        <v>6</v>
      </c>
      <c r="G23" s="168">
        <v>7</v>
      </c>
      <c r="H23" s="168">
        <v>8</v>
      </c>
      <c r="I23" s="168">
        <v>9</v>
      </c>
      <c r="J23" s="168">
        <v>10</v>
      </c>
      <c r="K23" s="168">
        <v>11</v>
      </c>
    </row>
    <row r="24" spans="1:11" s="118" customFormat="1" ht="47.25" customHeight="1" x14ac:dyDescent="0.25">
      <c r="A24" s="63">
        <v>1</v>
      </c>
      <c r="B24" s="62" t="s">
        <v>103</v>
      </c>
      <c r="C24" s="238">
        <f>VLOOKUP($A$11,'[1]6.2. отчет'!$D:$K,2,0)</f>
        <v>32.101498262255298</v>
      </c>
      <c r="D24" s="238">
        <f>VLOOKUP($A$11,'[1]6.2. отчет'!$D:$K,5,0)</f>
        <v>29.797130832000001</v>
      </c>
      <c r="E24" s="238">
        <f>VLOOKUP($A$11,'[1]6.2. отчет'!$D:$K,7,0)</f>
        <v>32.101498262255298</v>
      </c>
      <c r="F24" s="238">
        <f>VLOOKUP($A$11,'[1]6.2. отчет'!$D:$K,8,0)</f>
        <v>5.4365093802552984</v>
      </c>
      <c r="G24" s="238">
        <f>VLOOKUP($A$11,'[1]6.2. отчет'!$D:$BL,9,0)</f>
        <v>26.664988881999999</v>
      </c>
      <c r="H24" s="238">
        <f>VLOOKUP($A$11,'[1]6.2. отчет'!$D:$BL,15,0)</f>
        <v>0</v>
      </c>
      <c r="I24" s="238">
        <f>VLOOKUP($A$11,'[1]6.2. отчет'!$D:$CU,45,0)</f>
        <v>0</v>
      </c>
      <c r="J24" s="238">
        <f>VLOOKUP($A$11,'[1]6.2. отчет'!$D:$BL,56,0)</f>
        <v>3.1321419500000003</v>
      </c>
      <c r="K24" s="238">
        <f>VLOOKUP($A$11,'[1]6.2. отчет'!$D:$CU,86,0)</f>
        <v>0</v>
      </c>
    </row>
    <row r="25" spans="1:11" s="118" customFormat="1" ht="24" customHeight="1" x14ac:dyDescent="0.25">
      <c r="A25" s="61" t="s">
        <v>102</v>
      </c>
      <c r="B25" s="37" t="s">
        <v>101</v>
      </c>
      <c r="C25" s="238">
        <f>H25</f>
        <v>0</v>
      </c>
      <c r="D25" s="238">
        <f>G25+J25</f>
        <v>0</v>
      </c>
      <c r="E25" s="238">
        <f>F25+G25</f>
        <v>0</v>
      </c>
      <c r="F25" s="238">
        <f>J25</f>
        <v>0</v>
      </c>
      <c r="G25" s="238">
        <f>VLOOKUP($A$11,'[1]6.2. отчет'!$D:$BL,10,0)</f>
        <v>0</v>
      </c>
      <c r="H25" s="238">
        <f>VLOOKUP($A$11,'[1]6.2. отчет'!$D:$BL,16,0)</f>
        <v>0</v>
      </c>
      <c r="I25" s="238">
        <f>IF(H25=0,0,VLOOKUP($A$11,'[1]6.2. отчет'!$D:$CU,46,0))</f>
        <v>0</v>
      </c>
      <c r="J25" s="238">
        <f>VLOOKUP($A$11,'[1]6.2. отчет'!$D:$BL,57,0)</f>
        <v>0</v>
      </c>
      <c r="K25" s="238">
        <f>IF(J25=0,0,VLOOKUP($A$11,'[1]6.2. отчет'!$D:$CU,87,0))</f>
        <v>0</v>
      </c>
    </row>
    <row r="26" spans="1:11" s="118" customFormat="1" x14ac:dyDescent="0.25">
      <c r="A26" s="61" t="s">
        <v>100</v>
      </c>
      <c r="B26" s="37" t="s">
        <v>99</v>
      </c>
      <c r="C26" s="238">
        <f>H26</f>
        <v>0</v>
      </c>
      <c r="D26" s="238">
        <f>G26+J26</f>
        <v>0</v>
      </c>
      <c r="E26" s="238">
        <f>F26+G26</f>
        <v>0</v>
      </c>
      <c r="F26" s="238">
        <f>J26</f>
        <v>0</v>
      </c>
      <c r="G26" s="238">
        <f>VLOOKUP($A$11,'[1]6.2. отчет'!$D:$BL,11,0)</f>
        <v>0</v>
      </c>
      <c r="H26" s="238">
        <f>VLOOKUP($A$11,'[1]6.2. отчет'!$D:$BL,17,0)</f>
        <v>0</v>
      </c>
      <c r="I26" s="238">
        <f>IF(H26=0,0,VLOOKUP($A$11,'[1]6.2. отчет'!$D:$CU,47,0))</f>
        <v>0</v>
      </c>
      <c r="J26" s="238">
        <f>VLOOKUP($A$11,'[1]6.2. отчет'!$D:$BL,58,0)</f>
        <v>0</v>
      </c>
      <c r="K26" s="238">
        <f>IF(J26=0,0,VLOOKUP($A$11,'[1]6.2. отчет'!$D:$CU,88,0))</f>
        <v>0</v>
      </c>
    </row>
    <row r="27" spans="1:11" s="118" customFormat="1" ht="31.5" x14ac:dyDescent="0.25">
      <c r="A27" s="61" t="s">
        <v>98</v>
      </c>
      <c r="B27" s="37" t="s">
        <v>204</v>
      </c>
      <c r="C27" s="238">
        <f>IF(C24="нд","нд",C24-(C29+C28+C26+C25))</f>
        <v>32.101498262255298</v>
      </c>
      <c r="D27" s="238">
        <f>G27+J27+D24-(G24+J24)</f>
        <v>0</v>
      </c>
      <c r="E27" s="238">
        <f>F27+G27</f>
        <v>5.4365093802552984</v>
      </c>
      <c r="F27" s="238">
        <f>F24-(F25+F26+F28+F29)</f>
        <v>5.4365093802552984</v>
      </c>
      <c r="G27" s="238">
        <f>VLOOKUP($A$11,'[1]6.2. отчет'!$D:$BL,12,0)</f>
        <v>0</v>
      </c>
      <c r="H27" s="238">
        <f>VLOOKUP($A$11,'[1]6.2. отчет'!$D:$BL,18,0)</f>
        <v>0</v>
      </c>
      <c r="I27" s="238">
        <f>IF(H27=0,0,VLOOKUP($A$11,'[1]6.2. отчет'!$D:$CU,48,0))</f>
        <v>0</v>
      </c>
      <c r="J27" s="238">
        <f>VLOOKUP($A$11,'[1]6.2. отчет'!$D:$BL,59,0)</f>
        <v>0</v>
      </c>
      <c r="K27" s="238">
        <f>IF(J27=0,0,VLOOKUP($A$11,'[1]6.2. отчет'!$D:$CU,89,0))</f>
        <v>0</v>
      </c>
    </row>
    <row r="28" spans="1:11" s="118" customFormat="1" ht="17.25" customHeight="1" x14ac:dyDescent="0.25">
      <c r="A28" s="61" t="s">
        <v>97</v>
      </c>
      <c r="B28" s="37" t="s">
        <v>96</v>
      </c>
      <c r="C28" s="238">
        <f>H28</f>
        <v>0</v>
      </c>
      <c r="D28" s="238">
        <f>G28+J28</f>
        <v>25.492550600000001</v>
      </c>
      <c r="E28" s="238">
        <f>F28+G28</f>
        <v>22.36040865</v>
      </c>
      <c r="F28" s="238">
        <v>0</v>
      </c>
      <c r="G28" s="238">
        <f>VLOOKUP($A$11,'[1]6.2. отчет'!$D:$BL,13,0)</f>
        <v>22.36040865</v>
      </c>
      <c r="H28" s="238">
        <f>VLOOKUP($A$11,'[1]6.2. отчет'!$D:$BL,19,0)</f>
        <v>0</v>
      </c>
      <c r="I28" s="238">
        <f>IF(H28=0,0,VLOOKUP($A$11,'[1]6.2. отчет'!$D:$CU,49,0))</f>
        <v>0</v>
      </c>
      <c r="J28" s="238">
        <f>VLOOKUP($A$11,'[1]6.2. отчет'!$D:$BL,60,0)</f>
        <v>3.1321419500000003</v>
      </c>
      <c r="K28" s="238">
        <f>IF(J28=0,0,VLOOKUP($A$11,'[1]6.2. отчет'!$D:$CU,90,0))</f>
        <v>0</v>
      </c>
    </row>
    <row r="29" spans="1:11" s="118" customFormat="1" ht="18.75" customHeight="1" x14ac:dyDescent="0.25">
      <c r="A29" s="61" t="s">
        <v>95</v>
      </c>
      <c r="B29" s="64" t="s">
        <v>94</v>
      </c>
      <c r="C29" s="238">
        <f>H29</f>
        <v>0</v>
      </c>
      <c r="D29" s="238">
        <f>G29+J29</f>
        <v>4.3045802320000002</v>
      </c>
      <c r="E29" s="238">
        <f>F29+G29</f>
        <v>4.3045802320000002</v>
      </c>
      <c r="F29" s="238">
        <v>0</v>
      </c>
      <c r="G29" s="238">
        <f>VLOOKUP($A$11,'[1]6.2. отчет'!$D:$BL,14,0)</f>
        <v>4.3045802320000002</v>
      </c>
      <c r="H29" s="238">
        <f>VLOOKUP($A$11,'[1]6.2. отчет'!$D:$BL,20,0)</f>
        <v>0</v>
      </c>
      <c r="I29" s="238">
        <f>IF(H29=0,0,VLOOKUP($A$11,'[1]6.2. отчет'!$D:$CU,50,0))</f>
        <v>0</v>
      </c>
      <c r="J29" s="238">
        <f>VLOOKUP($A$11,'[1]6.2. отчет'!$D:$BL,61,0)</f>
        <v>0</v>
      </c>
      <c r="K29" s="238">
        <f>IF(J29=0,0,VLOOKUP($A$11,'[1]6.2. отчет'!$D:$CU,91,0))</f>
        <v>0</v>
      </c>
    </row>
    <row r="30" spans="1:11" s="118" customFormat="1" ht="47.25" x14ac:dyDescent="0.25">
      <c r="A30" s="63" t="s">
        <v>17</v>
      </c>
      <c r="B30" s="62" t="s">
        <v>93</v>
      </c>
      <c r="C30" s="238">
        <f>VLOOKUP($A$11,'[1]6.2. отчет'!$D:$DB,99,0)</f>
        <v>27.204659544284151</v>
      </c>
      <c r="D30" s="238">
        <f>VLOOKUP($A$11,'[1]6.2. отчет'!$D:$FK,106,0)</f>
        <v>102.79228253999999</v>
      </c>
      <c r="E30" s="238">
        <f>VLOOKUP($A$11,'[1]6.2. отчет'!$D:$FK,108,0)</f>
        <v>27.204659544284151</v>
      </c>
      <c r="F30" s="238">
        <f>VLOOKUP($A$11,'[1]6.2. отчет'!$D:$FK,109,0)</f>
        <v>22.644722854284151</v>
      </c>
      <c r="G30" s="238">
        <f>VLOOKUP($A$11,'[1]6.2. отчет'!$D:$FK,110,0)</f>
        <v>4.5599366900000007</v>
      </c>
      <c r="H30" s="238">
        <f>VLOOKUP($A$11,'[1]6.2. отчет'!$D:$FK,115,0)</f>
        <v>0</v>
      </c>
      <c r="I30" s="238">
        <f>VLOOKUP($A$11,'[1]6.2. отчет'!$D:$AGP,124,0)</f>
        <v>0</v>
      </c>
      <c r="J30" s="238">
        <f>VLOOKUP($A$11,'[1]6.2. отчет'!$D:$FK,130,0)</f>
        <v>98.232345849999987</v>
      </c>
      <c r="K30" s="238">
        <f>VLOOKUP($A$11,'[1]6.2. отчет'!$D:$FK,155,0)</f>
        <v>0</v>
      </c>
    </row>
    <row r="31" spans="1:11" s="118" customFormat="1" ht="21" customHeight="1" x14ac:dyDescent="0.25">
      <c r="A31" s="63" t="s">
        <v>92</v>
      </c>
      <c r="B31" s="37" t="s">
        <v>91</v>
      </c>
      <c r="C31" s="238">
        <f>VLOOKUP($A$11,'[1]6.2. отчет'!$D:$DB,100,0)</f>
        <v>1.0667270768338888</v>
      </c>
      <c r="D31" s="238">
        <f>G31+J31</f>
        <v>4.5599366900000007</v>
      </c>
      <c r="E31" s="238">
        <v>1.0667270768338888</v>
      </c>
      <c r="F31" s="238">
        <v>0</v>
      </c>
      <c r="G31" s="238">
        <f>VLOOKUP($A$11,'[1]6.2. отчет'!$D:$FK,111,0)</f>
        <v>4.5599366900000007</v>
      </c>
      <c r="H31" s="238">
        <v>0</v>
      </c>
      <c r="I31" s="238">
        <v>0</v>
      </c>
      <c r="J31" s="238">
        <f>VLOOKUP($A$11,'[1]6.2. отчет'!$D:$FK,131,0)</f>
        <v>0</v>
      </c>
      <c r="K31" s="238">
        <f>IF(J31=0,0,VLOOKUP($A$11,'[1]6.2. отчет'!$D:$FK,156,0))</f>
        <v>0</v>
      </c>
    </row>
    <row r="32" spans="1:11" s="118" customFormat="1" ht="31.5" x14ac:dyDescent="0.25">
      <c r="A32" s="63" t="s">
        <v>90</v>
      </c>
      <c r="B32" s="37" t="s">
        <v>89</v>
      </c>
      <c r="C32" s="238">
        <f>VLOOKUP($A$11,'[1]6.2. отчет'!$D:$DB,101,0)</f>
        <v>22.243532028215427</v>
      </c>
      <c r="D32" s="238">
        <f t="shared" ref="D32:D34" si="0">G32+J32</f>
        <v>94.090279620000004</v>
      </c>
      <c r="E32" s="238">
        <v>22.243532028215427</v>
      </c>
      <c r="F32" s="238">
        <v>18.750322415049318</v>
      </c>
      <c r="G32" s="238">
        <f>VLOOKUP($A$11,'[1]6.2. отчет'!$D:$FK,112,0)</f>
        <v>0</v>
      </c>
      <c r="H32" s="238">
        <v>0</v>
      </c>
      <c r="I32" s="238">
        <v>0</v>
      </c>
      <c r="J32" s="238">
        <f>VLOOKUP($A$11,'[1]6.2. отчет'!$D:$FK,132,0)</f>
        <v>94.090279620000004</v>
      </c>
      <c r="K32" s="238">
        <f>IF(J32=0,0,VLOOKUP($A$11,'[1]6.2. отчет'!$D:$FK,157,0))</f>
        <v>0</v>
      </c>
    </row>
    <row r="33" spans="1:11" s="118" customFormat="1" ht="20.25" customHeight="1" x14ac:dyDescent="0.25">
      <c r="A33" s="63" t="s">
        <v>88</v>
      </c>
      <c r="B33" s="37" t="s">
        <v>87</v>
      </c>
      <c r="C33" s="238">
        <f>VLOOKUP($A$11,'[1]6.2. отчет'!$D:$DB,102,0)</f>
        <v>0</v>
      </c>
      <c r="D33" s="238">
        <f t="shared" si="0"/>
        <v>0</v>
      </c>
      <c r="E33" s="238">
        <v>0</v>
      </c>
      <c r="F33" s="238">
        <v>0</v>
      </c>
      <c r="G33" s="238">
        <f>VLOOKUP($A$11,'[1]6.2. отчет'!$D:$FK,113,0)</f>
        <v>0</v>
      </c>
      <c r="H33" s="238">
        <v>0</v>
      </c>
      <c r="I33" s="238">
        <v>0</v>
      </c>
      <c r="J33" s="238">
        <f>VLOOKUP($A$11,'[1]6.2. отчет'!$D:$FK,133,0)</f>
        <v>0</v>
      </c>
      <c r="K33" s="238">
        <f>IF(J33=0,0,VLOOKUP($A$11,'[1]6.2. отчет'!$D:$FK,158,0))</f>
        <v>0</v>
      </c>
    </row>
    <row r="34" spans="1:11" s="118" customFormat="1" ht="21" customHeight="1" x14ac:dyDescent="0.25">
      <c r="A34" s="63" t="s">
        <v>86</v>
      </c>
      <c r="B34" s="37" t="s">
        <v>85</v>
      </c>
      <c r="C34" s="238">
        <f>VLOOKUP($A$11,'[1]6.2. отчет'!$D:$DB,103,0)</f>
        <v>3.894400439234833</v>
      </c>
      <c r="D34" s="238">
        <f t="shared" si="0"/>
        <v>4.1420662300000002</v>
      </c>
      <c r="E34" s="238">
        <f>E30-E31-E32-E33</f>
        <v>3.8944004392348361</v>
      </c>
      <c r="F34" s="238">
        <v>3.894400439234833</v>
      </c>
      <c r="G34" s="238">
        <f>VLOOKUP($A$11,'[1]6.2. отчет'!$D:$FK,114,0)</f>
        <v>0</v>
      </c>
      <c r="H34" s="238">
        <v>0</v>
      </c>
      <c r="I34" s="238">
        <v>0</v>
      </c>
      <c r="J34" s="238">
        <f>VLOOKUP($A$11,'[1]6.2. отчет'!$D:$FK,134,0)</f>
        <v>4.1420662300000002</v>
      </c>
      <c r="K34" s="238">
        <f>IF(J34=0,0,VLOOKUP($A$11,'[1]6.2. отчет'!$D:$FK,159,0))</f>
        <v>0</v>
      </c>
    </row>
    <row r="35" spans="1:11" ht="31.5" x14ac:dyDescent="0.25">
      <c r="A35" s="63" t="s">
        <v>16</v>
      </c>
      <c r="B35" s="62" t="s">
        <v>84</v>
      </c>
      <c r="C35" s="238"/>
      <c r="D35" s="238"/>
      <c r="E35" s="238"/>
      <c r="F35" s="238"/>
      <c r="G35" s="238"/>
      <c r="H35" s="238"/>
      <c r="I35" s="239"/>
      <c r="J35" s="238"/>
      <c r="K35" s="239"/>
    </row>
    <row r="36" spans="1:11" ht="31.5" x14ac:dyDescent="0.25">
      <c r="A36" s="61" t="s">
        <v>83</v>
      </c>
      <c r="B36" s="240" t="s">
        <v>82</v>
      </c>
      <c r="C36" s="238">
        <f>IF('1. паспорт местоположение'!$C$22="Прочие инвестиционные проекты",0,VLOOKUP($A$11,'[1]6.2. отчет'!$D:$FX,168,0))</f>
        <v>0</v>
      </c>
      <c r="D36" s="238">
        <v>0</v>
      </c>
      <c r="E36" s="238">
        <f t="shared" ref="E36:E57" si="1">F36+G36</f>
        <v>0</v>
      </c>
      <c r="F36" s="238">
        <f>C36</f>
        <v>0</v>
      </c>
      <c r="G36" s="238">
        <f>IF('1. паспорт местоположение'!$C$22="Прочие инвестиционные проекты",0,VLOOKUP($A$11,'[1]6.2. отчет'!$D:$GJ,180,0))</f>
        <v>0</v>
      </c>
      <c r="H36" s="238">
        <f>IF('1. паспорт местоположение'!$C$22="Прочие инвестиционные проекты",0,VLOOKUP($A$11,'[1]6.2. отчет'!$D:$AGO,191,0))</f>
        <v>0</v>
      </c>
      <c r="I36" s="238">
        <f>IF('1. паспорт местоположение'!$C$22="Прочие инвестиционные проекты",0,VLOOKUP($A$11,'[1]6.2. отчет'!$D:$AGO,246,0))</f>
        <v>0</v>
      </c>
      <c r="J36" s="238">
        <f>IF('1. паспорт местоположение'!$C$22="Прочие инвестиционные проекты",0,VLOOKUP($A$11,'[1]6.2. отчет'!$D:$AGO,257,0))</f>
        <v>0</v>
      </c>
      <c r="K36" s="238">
        <f>IF('1. паспорт местоположение'!$C$22="Прочие инвестиционные проекты",0,VLOOKUP($A$11,'[1]6.2. отчет'!$D:$AGO,312,0))</f>
        <v>0</v>
      </c>
    </row>
    <row r="37" spans="1:11" x14ac:dyDescent="0.25">
      <c r="A37" s="61" t="s">
        <v>81</v>
      </c>
      <c r="B37" s="240" t="s">
        <v>71</v>
      </c>
      <c r="C37" s="238">
        <f>IF('1. паспорт местоположение'!$C$22="Прочие инвестиционные проекты",0,VLOOKUP($A$11,'[1]6.2. отчет'!$D:$FX,169,0))</f>
        <v>0</v>
      </c>
      <c r="D37" s="238">
        <v>0</v>
      </c>
      <c r="E37" s="238">
        <f t="shared" si="1"/>
        <v>0</v>
      </c>
      <c r="F37" s="238">
        <f t="shared" ref="F37:F64" si="2">C37</f>
        <v>0</v>
      </c>
      <c r="G37" s="238">
        <f>IF('1. паспорт местоположение'!$C$22="Прочие инвестиционные проекты",0,VLOOKUP($A$11,'[1]6.2. отчет'!$D:$GJ,181,0))</f>
        <v>0</v>
      </c>
      <c r="H37" s="238">
        <f>IF('1. паспорт местоположение'!$C$22="Прочие инвестиционные проекты",0,VLOOKUP($A$11,'[1]6.2. отчет'!$D:$AGO,192,0))</f>
        <v>0</v>
      </c>
      <c r="I37" s="238">
        <f>IF('1. паспорт местоположение'!$C$22="Прочие инвестиционные проекты",0,VLOOKUP($A$11,'[1]6.2. отчет'!$D:$AGO,247,0))</f>
        <v>0</v>
      </c>
      <c r="J37" s="238">
        <f>IF('1. паспорт местоположение'!$C$22="Прочие инвестиционные проекты",0,VLOOKUP($A$11,'[1]6.2. отчет'!$D:$AGO,258,0))</f>
        <v>0</v>
      </c>
      <c r="K37" s="238">
        <f>IF('1. паспорт местоположение'!$C$22="Прочие инвестиционные проекты",0,VLOOKUP($A$11,'[1]6.2. отчет'!$D:$AGO,313,0))</f>
        <v>0</v>
      </c>
    </row>
    <row r="38" spans="1:11" x14ac:dyDescent="0.25">
      <c r="A38" s="61" t="s">
        <v>80</v>
      </c>
      <c r="B38" s="240" t="s">
        <v>69</v>
      </c>
      <c r="C38" s="238">
        <f>IF('1. паспорт местоположение'!$C$22="Прочие инвестиционные проекты",0,VLOOKUP($A$11,'[1]6.2. отчет'!$D:$FX,170,0))</f>
        <v>0</v>
      </c>
      <c r="D38" s="238">
        <v>0</v>
      </c>
      <c r="E38" s="238">
        <f t="shared" si="1"/>
        <v>0</v>
      </c>
      <c r="F38" s="238">
        <f t="shared" si="2"/>
        <v>0</v>
      </c>
      <c r="G38" s="238">
        <f>IF('1. паспорт местоположение'!$C$22="Прочие инвестиционные проекты",0,VLOOKUP($A$11,'[1]6.2. отчет'!$D:$GJ,182,0))</f>
        <v>0</v>
      </c>
      <c r="H38" s="238">
        <f>IF('1. паспорт местоположение'!$C$22="Прочие инвестиционные проекты",0,VLOOKUP($A$11,'[1]6.2. отчет'!$D:$AGO,193,0))</f>
        <v>0</v>
      </c>
      <c r="I38" s="238">
        <f>IF('1. паспорт местоположение'!$C$22="Прочие инвестиционные проекты",0,VLOOKUP($A$11,'[1]6.2. отчет'!$D:$AGO,248,0))</f>
        <v>0</v>
      </c>
      <c r="J38" s="238">
        <f>IF('1. паспорт местоположение'!$C$22="Прочие инвестиционные проекты",0,VLOOKUP($A$11,'[1]6.2. отчет'!$D:$AGO,259,0))</f>
        <v>0</v>
      </c>
      <c r="K38" s="238">
        <f>IF('1. паспорт местоположение'!$C$22="Прочие инвестиционные проекты",0,VLOOKUP($A$11,'[1]6.2. отчет'!$D:$AGO,314,0))</f>
        <v>0</v>
      </c>
    </row>
    <row r="39" spans="1:11" ht="31.5" x14ac:dyDescent="0.25">
      <c r="A39" s="61" t="s">
        <v>79</v>
      </c>
      <c r="B39" s="37" t="s">
        <v>67</v>
      </c>
      <c r="C39" s="238">
        <f>IF('1. паспорт местоположение'!$C$22="Прочие инвестиционные проекты",0,VLOOKUP($A$11,'[1]6.2. отчет'!$D:$FX,172,0))</f>
        <v>0</v>
      </c>
      <c r="D39" s="238">
        <v>0</v>
      </c>
      <c r="E39" s="238">
        <f t="shared" si="1"/>
        <v>0</v>
      </c>
      <c r="F39" s="238">
        <f t="shared" si="2"/>
        <v>0</v>
      </c>
      <c r="G39" s="238">
        <f>IF('1. паспорт местоположение'!$C$22="Прочие инвестиционные проекты",0,VLOOKUP($A$11,'[1]6.2. отчет'!$D:$GJ,184,0))</f>
        <v>0</v>
      </c>
      <c r="H39" s="238">
        <f>IF('1. паспорт местоположение'!$C$22="Прочие инвестиционные проекты",0,VLOOKUP($A$11,'[1]6.2. отчет'!$D:$AGO,195,0))</f>
        <v>0</v>
      </c>
      <c r="I39" s="238">
        <f>IF('1. паспорт местоположение'!$C$22="Прочие инвестиционные проекты",0,VLOOKUP($A$11,'[1]6.2. отчет'!$D:$AGO,250,0))</f>
        <v>0</v>
      </c>
      <c r="J39" s="238">
        <f>IF('1. паспорт местоположение'!$C$22="Прочие инвестиционные проекты",0,VLOOKUP($A$11,'[1]6.2. отчет'!$D:$AGO,261,0))</f>
        <v>3.4590000000000001</v>
      </c>
      <c r="K39" s="238">
        <f>IF('1. паспорт местоположение'!$C$22="Прочие инвестиционные проекты",0,VLOOKUP($A$11,'[1]6.2. отчет'!$D:$AGO,316,0))</f>
        <v>0</v>
      </c>
    </row>
    <row r="40" spans="1:11" s="118" customFormat="1" ht="31.5" x14ac:dyDescent="0.25">
      <c r="A40" s="61" t="s">
        <v>78</v>
      </c>
      <c r="B40" s="37" t="s">
        <v>65</v>
      </c>
      <c r="C40" s="238">
        <f>IF('1. паспорт местоположение'!$C$22="Прочие инвестиционные проекты",0,VLOOKUP($A$11,'[1]6.2. отчет'!$D:$FX,173,0))</f>
        <v>2</v>
      </c>
      <c r="D40" s="238">
        <v>0</v>
      </c>
      <c r="E40" s="238">
        <f t="shared" si="1"/>
        <v>2</v>
      </c>
      <c r="F40" s="238">
        <f t="shared" si="2"/>
        <v>2</v>
      </c>
      <c r="G40" s="238">
        <f>IF('1. паспорт местоположение'!$C$22="Прочие инвестиционные проекты",0,VLOOKUP($A$11,'[1]6.2. отчет'!$D:$GJ,185,0))</f>
        <v>0</v>
      </c>
      <c r="H40" s="238">
        <f>IF('1. паспорт местоположение'!$C$22="Прочие инвестиционные проекты",0,VLOOKUP($A$11,'[1]6.2. отчет'!$D:$AGO,196,0))</f>
        <v>0</v>
      </c>
      <c r="I40" s="238">
        <f>IF('1. паспорт местоположение'!$C$22="Прочие инвестиционные проекты",0,VLOOKUP($A$11,'[1]6.2. отчет'!$D:$AGO,251,0))</f>
        <v>0</v>
      </c>
      <c r="J40" s="238">
        <f>IF('1. паспорт местоположение'!$C$22="Прочие инвестиционные проекты",0,VLOOKUP($A$11,'[1]6.2. отчет'!$D:$AGO,262,0))</f>
        <v>0</v>
      </c>
      <c r="K40" s="238">
        <f>IF('1. паспорт местоположение'!$C$22="Прочие инвестиционные проекты",0,VLOOKUP($A$11,'[1]6.2. отчет'!$D:$AGO,317,0))</f>
        <v>0</v>
      </c>
    </row>
    <row r="41" spans="1:11" x14ac:dyDescent="0.25">
      <c r="A41" s="61" t="s">
        <v>77</v>
      </c>
      <c r="B41" s="37" t="s">
        <v>63</v>
      </c>
      <c r="C41" s="238">
        <f>IF('1. паспорт местоположение'!$C$22="Прочие инвестиционные проекты",0,VLOOKUP($A$11,'[1]6.2. отчет'!$D:$FX,174,0))</f>
        <v>0</v>
      </c>
      <c r="D41" s="238">
        <v>0</v>
      </c>
      <c r="E41" s="238">
        <f t="shared" si="1"/>
        <v>0</v>
      </c>
      <c r="F41" s="238">
        <f t="shared" si="2"/>
        <v>0</v>
      </c>
      <c r="G41" s="238">
        <f>IF('1. паспорт местоположение'!$C$22="Прочие инвестиционные проекты",0,VLOOKUP($A$11,'[1]6.2. отчет'!$D:$GJ,186,0))</f>
        <v>0</v>
      </c>
      <c r="H41" s="238">
        <f>IF('1. паспорт местоположение'!$C$22="Прочие инвестиционные проекты",0,VLOOKUP($A$11,'[1]6.2. отчет'!$D:$AGO,197,0))</f>
        <v>0</v>
      </c>
      <c r="I41" s="238">
        <f>IF('1. паспорт местоположение'!$C$22="Прочие инвестиционные проекты",0,VLOOKUP($A$11,'[1]6.2. отчет'!$D:$AGO,252,0))</f>
        <v>0</v>
      </c>
      <c r="J41" s="238">
        <f>IF('1. паспорт местоположение'!$C$22="Прочие инвестиционные проекты",0,VLOOKUP($A$11,'[1]6.2. отчет'!$D:$AGO,263,0))</f>
        <v>0</v>
      </c>
      <c r="K41" s="238">
        <f>IF('1. паспорт местоположение'!$C$22="Прочие инвестиционные проекты",0,VLOOKUP($A$11,'[1]6.2. отчет'!$D:$AGO,318,0))</f>
        <v>0</v>
      </c>
    </row>
    <row r="42" spans="1:11" ht="18.75" x14ac:dyDescent="0.25">
      <c r="A42" s="61" t="s">
        <v>76</v>
      </c>
      <c r="B42" s="240" t="s">
        <v>61</v>
      </c>
      <c r="C42" s="238">
        <f>IF('1. паспорт местоположение'!$C$22="Прочие инвестиционные проекты",0,VLOOKUP($A$11,'[1]6.2. отчет'!$D:$FX,177,0))</f>
        <v>0</v>
      </c>
      <c r="D42" s="238">
        <v>0</v>
      </c>
      <c r="E42" s="238">
        <f t="shared" si="1"/>
        <v>0</v>
      </c>
      <c r="F42" s="238">
        <f t="shared" si="2"/>
        <v>0</v>
      </c>
      <c r="G42" s="238">
        <f>IF('1. паспорт местоположение'!$C$22="Прочие инвестиционные проекты",0,VLOOKUP($A$11,'[1]6.2. отчет'!$D:$GJ,189,0))</f>
        <v>0</v>
      </c>
      <c r="H42" s="238">
        <f>IF('1. паспорт местоположение'!$C$22="Прочие инвестиционные проекты",0,VLOOKUP($A$11,'[1]6.2. отчет'!$D:$AGO,200,0))</f>
        <v>0</v>
      </c>
      <c r="I42" s="238">
        <f>IF('1. паспорт местоположение'!$C$22="Прочие инвестиционные проекты",0,VLOOKUP($A$11,'[1]6.2. отчет'!$D:$AGO,255,0))</f>
        <v>0</v>
      </c>
      <c r="J42" s="238">
        <f>IF('1. паспорт местоположение'!$C$22="Прочие инвестиционные проекты",0,VLOOKUP($A$11,'[1]6.2. отчет'!$D:$AGO,266,0))</f>
        <v>0</v>
      </c>
      <c r="K42" s="238">
        <f>IF('1. паспорт местоположение'!$C$22="Прочие инвестиционные проекты",0,VLOOKUP($A$11,'[1]6.2. отчет'!$D:$AGO,321,0))</f>
        <v>0</v>
      </c>
    </row>
    <row r="43" spans="1:11" x14ac:dyDescent="0.25">
      <c r="A43" s="63" t="s">
        <v>15</v>
      </c>
      <c r="B43" s="62" t="s">
        <v>75</v>
      </c>
      <c r="C43" s="238"/>
      <c r="D43" s="238"/>
      <c r="E43" s="238"/>
      <c r="F43" s="238">
        <f t="shared" si="2"/>
        <v>0</v>
      </c>
      <c r="G43" s="238"/>
      <c r="H43" s="238"/>
      <c r="I43" s="239"/>
      <c r="J43" s="238"/>
      <c r="K43" s="239"/>
    </row>
    <row r="44" spans="1:11" x14ac:dyDescent="0.25">
      <c r="A44" s="61" t="s">
        <v>74</v>
      </c>
      <c r="B44" s="37" t="s">
        <v>73</v>
      </c>
      <c r="C44" s="238">
        <f>VLOOKUP($A$11,'[1]6.2. отчет'!$D:$FX,168,0)</f>
        <v>0</v>
      </c>
      <c r="D44" s="238">
        <v>0</v>
      </c>
      <c r="E44" s="238">
        <f t="shared" si="1"/>
        <v>0</v>
      </c>
      <c r="F44" s="238">
        <f t="shared" si="2"/>
        <v>0</v>
      </c>
      <c r="G44" s="238">
        <f>VLOOKUP($A$11,'[1]6.2. отчет'!$D:$GJ,180,0)</f>
        <v>0</v>
      </c>
      <c r="H44" s="238">
        <f>VLOOKUP($A$11,'[1]6.2. отчет'!$D:$AGO,191,0)</f>
        <v>0</v>
      </c>
      <c r="I44" s="238">
        <f>VLOOKUP($A$11,'[1]6.2. отчет'!$D:$AGO,246,0)</f>
        <v>0</v>
      </c>
      <c r="J44" s="238">
        <f>VLOOKUP($A$11,'[1]6.2. отчет'!$D:$AGO,257,0)</f>
        <v>0</v>
      </c>
      <c r="K44" s="238">
        <f>VLOOKUP($A$11,'[1]6.2. отчет'!$D:$AGO,312,0)</f>
        <v>0</v>
      </c>
    </row>
    <row r="45" spans="1:11" x14ac:dyDescent="0.25">
      <c r="A45" s="61" t="s">
        <v>72</v>
      </c>
      <c r="B45" s="37" t="s">
        <v>71</v>
      </c>
      <c r="C45" s="238">
        <f>VLOOKUP($A$11,'[1]6.2. отчет'!$D:$FX,169,0)</f>
        <v>0</v>
      </c>
      <c r="D45" s="238">
        <v>0</v>
      </c>
      <c r="E45" s="238">
        <f t="shared" si="1"/>
        <v>0</v>
      </c>
      <c r="F45" s="238">
        <f t="shared" si="2"/>
        <v>0</v>
      </c>
      <c r="G45" s="238">
        <f>VLOOKUP($A$11,'[1]6.2. отчет'!$D:$GJ,181,0)</f>
        <v>0</v>
      </c>
      <c r="H45" s="238">
        <f>VLOOKUP($A$11,'[1]6.2. отчет'!$D:$AGO,192,0)</f>
        <v>0</v>
      </c>
      <c r="I45" s="238">
        <f>VLOOKUP($A$11,'[1]6.2. отчет'!$D:$AGO,247,0)</f>
        <v>0</v>
      </c>
      <c r="J45" s="238">
        <f>VLOOKUP($A$11,'[1]6.2. отчет'!$D:$AGO,258,0)</f>
        <v>0</v>
      </c>
      <c r="K45" s="238">
        <f>VLOOKUP($A$11,'[1]6.2. отчет'!$D:$AGO,313,0)</f>
        <v>0</v>
      </c>
    </row>
    <row r="46" spans="1:11" x14ac:dyDescent="0.25">
      <c r="A46" s="61" t="s">
        <v>70</v>
      </c>
      <c r="B46" s="37" t="s">
        <v>69</v>
      </c>
      <c r="C46" s="238">
        <f>VLOOKUP($A$11,'[1]6.2. отчет'!$D:$FX,170,0)</f>
        <v>0</v>
      </c>
      <c r="D46" s="238">
        <v>0</v>
      </c>
      <c r="E46" s="238">
        <f t="shared" si="1"/>
        <v>0</v>
      </c>
      <c r="F46" s="238">
        <f t="shared" si="2"/>
        <v>0</v>
      </c>
      <c r="G46" s="238">
        <f>VLOOKUP($A$11,'[1]6.2. отчет'!$D:$GJ,182,0)</f>
        <v>0</v>
      </c>
      <c r="H46" s="238">
        <f>VLOOKUP($A$11,'[1]6.2. отчет'!$D:$AGO,193,0)</f>
        <v>0</v>
      </c>
      <c r="I46" s="238">
        <f>VLOOKUP($A$11,'[1]6.2. отчет'!$D:$AGO,248,0)</f>
        <v>0</v>
      </c>
      <c r="J46" s="238">
        <f>VLOOKUP($A$11,'[1]6.2. отчет'!$D:$AGO,259,0)</f>
        <v>0</v>
      </c>
      <c r="K46" s="238">
        <f>VLOOKUP($A$11,'[1]6.2. отчет'!$D:$AGO,314,0)</f>
        <v>0</v>
      </c>
    </row>
    <row r="47" spans="1:11" ht="31.5" x14ac:dyDescent="0.25">
      <c r="A47" s="61" t="s">
        <v>68</v>
      </c>
      <c r="B47" s="37" t="s">
        <v>67</v>
      </c>
      <c r="C47" s="238">
        <f>VLOOKUP($A$11,'[1]6.2. отчет'!$D:$FX,172,0)</f>
        <v>0</v>
      </c>
      <c r="D47" s="238">
        <v>0</v>
      </c>
      <c r="E47" s="238">
        <f t="shared" si="1"/>
        <v>0</v>
      </c>
      <c r="F47" s="238">
        <f t="shared" si="2"/>
        <v>0</v>
      </c>
      <c r="G47" s="238">
        <f>VLOOKUP($A$11,'[1]6.2. отчет'!$D:$GJ,184,0)</f>
        <v>0</v>
      </c>
      <c r="H47" s="238">
        <f>VLOOKUP($A$11,'[1]6.2. отчет'!$D:$AGO,195,0)</f>
        <v>0</v>
      </c>
      <c r="I47" s="238">
        <f>VLOOKUP($A$11,'[1]6.2. отчет'!$D:$AGO,250,0)</f>
        <v>0</v>
      </c>
      <c r="J47" s="238">
        <f>VLOOKUP($A$11,'[1]6.2. отчет'!$D:$AGO,261,0)</f>
        <v>3.4590000000000001</v>
      </c>
      <c r="K47" s="238">
        <f>VLOOKUP($A$11,'[1]6.2. отчет'!$D:$AGO,316,0)</f>
        <v>0</v>
      </c>
    </row>
    <row r="48" spans="1:11" ht="31.5" x14ac:dyDescent="0.25">
      <c r="A48" s="61" t="s">
        <v>66</v>
      </c>
      <c r="B48" s="37" t="s">
        <v>65</v>
      </c>
      <c r="C48" s="238">
        <f>VLOOKUP($A$11,'[1]6.2. отчет'!$D:$FX,173,0)</f>
        <v>2</v>
      </c>
      <c r="D48" s="238">
        <v>0</v>
      </c>
      <c r="E48" s="238">
        <f t="shared" si="1"/>
        <v>2</v>
      </c>
      <c r="F48" s="238">
        <f t="shared" si="2"/>
        <v>2</v>
      </c>
      <c r="G48" s="238">
        <f>VLOOKUP($A$11,'[1]6.2. отчет'!$D:$GJ,185,0)</f>
        <v>0</v>
      </c>
      <c r="H48" s="238">
        <f>VLOOKUP($A$11,'[1]6.2. отчет'!$D:$AGO,196,0)</f>
        <v>0</v>
      </c>
      <c r="I48" s="238">
        <f>VLOOKUP($A$11,'[1]6.2. отчет'!$D:$AGO,251,0)</f>
        <v>0</v>
      </c>
      <c r="J48" s="238">
        <f>VLOOKUP($A$11,'[1]6.2. отчет'!$D:$AGO,262,0)</f>
        <v>0</v>
      </c>
      <c r="K48" s="238">
        <f>VLOOKUP($A$11,'[1]6.2. отчет'!$D:$AGO,317,0)</f>
        <v>0</v>
      </c>
    </row>
    <row r="49" spans="1:11" x14ac:dyDescent="0.25">
      <c r="A49" s="61" t="s">
        <v>64</v>
      </c>
      <c r="B49" s="37" t="s">
        <v>63</v>
      </c>
      <c r="C49" s="238">
        <f>VLOOKUP($A$11,'[1]6.2. отчет'!$D:$FX,174,0)</f>
        <v>0</v>
      </c>
      <c r="D49" s="238">
        <v>0</v>
      </c>
      <c r="E49" s="238">
        <f t="shared" si="1"/>
        <v>0</v>
      </c>
      <c r="F49" s="238">
        <f t="shared" si="2"/>
        <v>0</v>
      </c>
      <c r="G49" s="238">
        <f>VLOOKUP($A$11,'[1]6.2. отчет'!$D:$GJ,186,0)</f>
        <v>0</v>
      </c>
      <c r="H49" s="238">
        <f>VLOOKUP($A$11,'[1]6.2. отчет'!$D:$AGO,197,0)</f>
        <v>0</v>
      </c>
      <c r="I49" s="238">
        <f>VLOOKUP($A$11,'[1]6.2. отчет'!$D:$AGO,252,0)</f>
        <v>0</v>
      </c>
      <c r="J49" s="238">
        <f>VLOOKUP($A$11,'[1]6.2. отчет'!$D:$AGO,263,0)</f>
        <v>0</v>
      </c>
      <c r="K49" s="238">
        <f>VLOOKUP($A$11,'[1]6.2. отчет'!$D:$AGO,318,0)</f>
        <v>0</v>
      </c>
    </row>
    <row r="50" spans="1:11" ht="18.75" x14ac:dyDescent="0.25">
      <c r="A50" s="61" t="s">
        <v>62</v>
      </c>
      <c r="B50" s="240" t="s">
        <v>61</v>
      </c>
      <c r="C50" s="238">
        <f>VLOOKUP($A$11,'[1]6.2. отчет'!$D:$FX,177,0)</f>
        <v>0</v>
      </c>
      <c r="D50" s="238">
        <v>0</v>
      </c>
      <c r="E50" s="238">
        <f t="shared" si="1"/>
        <v>0</v>
      </c>
      <c r="F50" s="238">
        <f t="shared" si="2"/>
        <v>0</v>
      </c>
      <c r="G50" s="238">
        <f>VLOOKUP($A$11,'[1]6.2. отчет'!$D:$GJ,189,0)</f>
        <v>0</v>
      </c>
      <c r="H50" s="238">
        <f>VLOOKUP($A$11,'[1]6.2. отчет'!$D:$AGO,200,0)</f>
        <v>0</v>
      </c>
      <c r="I50" s="238">
        <f>VLOOKUP($A$11,'[1]6.2. отчет'!$D:$AGO,255,0)</f>
        <v>0</v>
      </c>
      <c r="J50" s="238">
        <f>VLOOKUP($A$11,'[1]6.2. отчет'!$D:$AGO,266,0)</f>
        <v>0</v>
      </c>
      <c r="K50" s="238">
        <f>VLOOKUP($A$11,'[1]6.2. отчет'!$D:$AGO,321,0)</f>
        <v>0</v>
      </c>
    </row>
    <row r="51" spans="1:11" ht="35.25" customHeight="1" x14ac:dyDescent="0.25">
      <c r="A51" s="63" t="s">
        <v>13</v>
      </c>
      <c r="B51" s="62" t="s">
        <v>60</v>
      </c>
      <c r="C51" s="238"/>
      <c r="D51" s="238"/>
      <c r="E51" s="238"/>
      <c r="F51" s="238">
        <f t="shared" si="2"/>
        <v>0</v>
      </c>
      <c r="G51" s="238"/>
      <c r="H51" s="238"/>
      <c r="I51" s="239"/>
      <c r="J51" s="238"/>
      <c r="K51" s="239"/>
    </row>
    <row r="52" spans="1:11" x14ac:dyDescent="0.25">
      <c r="A52" s="61" t="s">
        <v>59</v>
      </c>
      <c r="B52" s="37" t="s">
        <v>58</v>
      </c>
      <c r="C52" s="238">
        <f>VLOOKUP($A$11,'[1]6.2. отчет'!$D:$FX,167,0)</f>
        <v>27.204659544284151</v>
      </c>
      <c r="D52" s="238">
        <v>0</v>
      </c>
      <c r="E52" s="238">
        <f t="shared" si="1"/>
        <v>27.204659544284151</v>
      </c>
      <c r="F52" s="238">
        <f t="shared" si="2"/>
        <v>27.204659544284151</v>
      </c>
      <c r="G52" s="238">
        <f>VLOOKUP($A$11,'[1]6.2. отчет'!$D:$GJ,179,0)</f>
        <v>0</v>
      </c>
      <c r="H52" s="238">
        <f>VLOOKUP($A$11,'[1]6.2. отчет'!$D:$AGO,190,0)</f>
        <v>0</v>
      </c>
      <c r="I52" s="238">
        <f>VLOOKUP($A$11,'[1]6.2. отчет'!$D:$AGO,245,0)</f>
        <v>0</v>
      </c>
      <c r="J52" s="238">
        <f>VLOOKUP($A$11,'[1]6.2. отчет'!$D:$AGO,256,0)</f>
        <v>102.79228254</v>
      </c>
      <c r="K52" s="238">
        <f>VLOOKUP($A$11,'[1]6.2. отчет'!$D:$AGO,311,0)</f>
        <v>0</v>
      </c>
    </row>
    <row r="53" spans="1:11" x14ac:dyDescent="0.25">
      <c r="A53" s="61" t="s">
        <v>57</v>
      </c>
      <c r="B53" s="37" t="s">
        <v>51</v>
      </c>
      <c r="C53" s="238">
        <f>VLOOKUP($A$11,'[1]6.2. отчет'!$D:$FX,168,0)</f>
        <v>0</v>
      </c>
      <c r="D53" s="238">
        <v>0</v>
      </c>
      <c r="E53" s="238">
        <f t="shared" si="1"/>
        <v>0</v>
      </c>
      <c r="F53" s="238">
        <f t="shared" si="2"/>
        <v>0</v>
      </c>
      <c r="G53" s="238">
        <f>VLOOKUP($A$11,'[1]6.2. отчет'!$D:$GJ,180,0)</f>
        <v>0</v>
      </c>
      <c r="H53" s="238">
        <f>VLOOKUP($A$11,'[1]6.2. отчет'!$D:$AGO,191,0)</f>
        <v>0</v>
      </c>
      <c r="I53" s="238">
        <f>VLOOKUP($A$11,'[1]6.2. отчет'!$D:$AGO,246,0)</f>
        <v>0</v>
      </c>
      <c r="J53" s="238">
        <f>VLOOKUP($A$11,'[1]6.2. отчет'!$D:$AGO,257,0)</f>
        <v>0</v>
      </c>
      <c r="K53" s="238">
        <f>VLOOKUP($A$11,'[1]6.2. отчет'!$D:$AGO,312,0)</f>
        <v>0</v>
      </c>
    </row>
    <row r="54" spans="1:11" x14ac:dyDescent="0.25">
      <c r="A54" s="61" t="s">
        <v>56</v>
      </c>
      <c r="B54" s="240" t="s">
        <v>50</v>
      </c>
      <c r="C54" s="238">
        <f>VLOOKUP($A$11,'[1]6.2. отчет'!$D:$FX,169,0)</f>
        <v>0</v>
      </c>
      <c r="D54" s="238">
        <v>0</v>
      </c>
      <c r="E54" s="238">
        <f t="shared" si="1"/>
        <v>0</v>
      </c>
      <c r="F54" s="238">
        <f t="shared" si="2"/>
        <v>0</v>
      </c>
      <c r="G54" s="238">
        <f>VLOOKUP($A$11,'[1]6.2. отчет'!$D:$GJ,181,0)</f>
        <v>0</v>
      </c>
      <c r="H54" s="238">
        <f>VLOOKUP($A$11,'[1]6.2. отчет'!$D:$AGO,192,0)</f>
        <v>0</v>
      </c>
      <c r="I54" s="238">
        <f>VLOOKUP($A$11,'[1]6.2. отчет'!$D:$AGO,247,0)</f>
        <v>0</v>
      </c>
      <c r="J54" s="238">
        <f>VLOOKUP($A$11,'[1]6.2. отчет'!$D:$AGO,258,0)</f>
        <v>0</v>
      </c>
      <c r="K54" s="238">
        <f>VLOOKUP($A$11,'[1]6.2. отчет'!$D:$AGO,313,0)</f>
        <v>0</v>
      </c>
    </row>
    <row r="55" spans="1:11" x14ac:dyDescent="0.25">
      <c r="A55" s="61" t="s">
        <v>55</v>
      </c>
      <c r="B55" s="240" t="s">
        <v>49</v>
      </c>
      <c r="C55" s="238">
        <f>VLOOKUP($A$11,'[1]6.2. отчет'!$D:$FX,170,0)</f>
        <v>0</v>
      </c>
      <c r="D55" s="238">
        <v>0</v>
      </c>
      <c r="E55" s="238">
        <f t="shared" si="1"/>
        <v>0</v>
      </c>
      <c r="F55" s="238">
        <f t="shared" si="2"/>
        <v>0</v>
      </c>
      <c r="G55" s="238">
        <f>VLOOKUP($A$11,'[1]6.2. отчет'!$D:$GJ,182,0)</f>
        <v>0</v>
      </c>
      <c r="H55" s="238">
        <f>VLOOKUP($A$11,'[1]6.2. отчет'!$D:$AGO,193,0)</f>
        <v>0</v>
      </c>
      <c r="I55" s="238">
        <f>VLOOKUP($A$11,'[1]6.2. отчет'!$D:$AGO,248,0)</f>
        <v>0</v>
      </c>
      <c r="J55" s="238">
        <f>VLOOKUP($A$11,'[1]6.2. отчет'!$D:$AGO,259,0)</f>
        <v>0</v>
      </c>
      <c r="K55" s="238">
        <f>VLOOKUP($A$11,'[1]6.2. отчет'!$D:$AGO,314,0)</f>
        <v>0</v>
      </c>
    </row>
    <row r="56" spans="1:11" x14ac:dyDescent="0.25">
      <c r="A56" s="61" t="s">
        <v>54</v>
      </c>
      <c r="B56" s="240" t="s">
        <v>48</v>
      </c>
      <c r="C56" s="238">
        <f>VLOOKUP($A$11,'[1]6.2. отчет'!$D:$FX,171,0)</f>
        <v>2</v>
      </c>
      <c r="D56" s="238">
        <v>0</v>
      </c>
      <c r="E56" s="238">
        <f t="shared" si="1"/>
        <v>2</v>
      </c>
      <c r="F56" s="238">
        <f t="shared" si="2"/>
        <v>2</v>
      </c>
      <c r="G56" s="238">
        <f>VLOOKUP($A$11,'[1]6.2. отчет'!$D:$GJ,183,0)</f>
        <v>0</v>
      </c>
      <c r="H56" s="238">
        <f>VLOOKUP($A$11,'[1]6.2. отчет'!$D:$AGO,194,0)</f>
        <v>0</v>
      </c>
      <c r="I56" s="238">
        <f>VLOOKUP($A$11,'[1]6.2. отчет'!$D:$AGO,249,0)</f>
        <v>0</v>
      </c>
      <c r="J56" s="238">
        <f>VLOOKUP($A$11,'[1]6.2. отчет'!$D:$AGO,260,0)</f>
        <v>3.4590000000000001</v>
      </c>
      <c r="K56" s="238">
        <f>VLOOKUP($A$11,'[1]6.2. отчет'!$D:$AGO,315,0)</f>
        <v>0</v>
      </c>
    </row>
    <row r="57" spans="1:11" ht="18.75" x14ac:dyDescent="0.25">
      <c r="A57" s="61" t="s">
        <v>53</v>
      </c>
      <c r="B57" s="240" t="s">
        <v>47</v>
      </c>
      <c r="C57" s="238">
        <f>VLOOKUP($A$11,'[1]6.2. отчет'!$D:$FX,177,0)</f>
        <v>0</v>
      </c>
      <c r="D57" s="238">
        <v>0</v>
      </c>
      <c r="E57" s="238">
        <f t="shared" si="1"/>
        <v>0</v>
      </c>
      <c r="F57" s="238">
        <f t="shared" si="2"/>
        <v>0</v>
      </c>
      <c r="G57" s="238">
        <f>VLOOKUP($A$11,'[1]6.2. отчет'!$D:$GJ,189,0)</f>
        <v>0</v>
      </c>
      <c r="H57" s="238">
        <f>VLOOKUP($A$11,'[1]6.2. отчет'!$D:$AGO,200,0)</f>
        <v>0</v>
      </c>
      <c r="I57" s="238">
        <f>VLOOKUP($A$11,'[1]6.2. отчет'!$D:$AGO,255,0)</f>
        <v>0</v>
      </c>
      <c r="J57" s="238">
        <f>VLOOKUP($A$11,'[1]6.2. отчет'!$D:$AGO,266,0)</f>
        <v>0</v>
      </c>
      <c r="K57" s="238">
        <f>VLOOKUP($A$11,'[1]6.2. отчет'!$D:$AGO,321,0)</f>
        <v>0</v>
      </c>
    </row>
    <row r="58" spans="1:11" ht="36.75" customHeight="1" x14ac:dyDescent="0.25">
      <c r="A58" s="63" t="s">
        <v>12</v>
      </c>
      <c r="B58" s="241" t="s">
        <v>149</v>
      </c>
      <c r="C58" s="238"/>
      <c r="D58" s="238"/>
      <c r="E58" s="238"/>
      <c r="F58" s="238">
        <f t="shared" si="2"/>
        <v>0</v>
      </c>
      <c r="G58" s="238"/>
      <c r="H58" s="238"/>
      <c r="I58" s="239"/>
      <c r="J58" s="238"/>
      <c r="K58" s="239"/>
    </row>
    <row r="59" spans="1:11" x14ac:dyDescent="0.25">
      <c r="A59" s="63" t="s">
        <v>10</v>
      </c>
      <c r="B59" s="62" t="s">
        <v>52</v>
      </c>
      <c r="C59" s="238"/>
      <c r="D59" s="238"/>
      <c r="E59" s="238"/>
      <c r="F59" s="238">
        <f t="shared" si="2"/>
        <v>0</v>
      </c>
      <c r="G59" s="238"/>
      <c r="H59" s="238"/>
      <c r="I59" s="239"/>
      <c r="J59" s="238"/>
      <c r="K59" s="239"/>
    </row>
    <row r="60" spans="1:11" x14ac:dyDescent="0.25">
      <c r="A60" s="61" t="s">
        <v>143</v>
      </c>
      <c r="B60" s="242" t="s">
        <v>73</v>
      </c>
      <c r="C60" s="238">
        <f>VLOOKUP($A$11,'[1]6.2. отчет'!$D:$AGO,326,0)</f>
        <v>0</v>
      </c>
      <c r="D60" s="238">
        <v>0</v>
      </c>
      <c r="E60" s="238">
        <f>F60+G60</f>
        <v>0</v>
      </c>
      <c r="F60" s="238">
        <f t="shared" si="2"/>
        <v>0</v>
      </c>
      <c r="G60" s="238">
        <f>VLOOKUP($A$11,'[1]6.2. отчет'!$D:$AGO,333,0)</f>
        <v>0</v>
      </c>
      <c r="H60" s="238">
        <f>VLOOKUP($A$11,'[1]6.2. отчет'!$D:$AGO,341,0)</f>
        <v>0</v>
      </c>
      <c r="I60" s="238">
        <f>VLOOKUP($A$11,'[1]6.2. отчет'!$D:$AGO,366,0)</f>
        <v>0</v>
      </c>
      <c r="J60" s="238">
        <f>VLOOKUP($A$11,'[1]6.2. отчет'!$D:$AGO,371,0)</f>
        <v>0</v>
      </c>
      <c r="K60" s="238">
        <f>VLOOKUP($A$11,'[1]6.2. отчет'!$D:$AGO,396,0)</f>
        <v>0</v>
      </c>
    </row>
    <row r="61" spans="1:11" x14ac:dyDescent="0.25">
      <c r="A61" s="61" t="s">
        <v>144</v>
      </c>
      <c r="B61" s="242" t="s">
        <v>71</v>
      </c>
      <c r="C61" s="238">
        <f>VLOOKUP($A$11,'[1]6.2. отчет'!$D:$AGO,327,0)</f>
        <v>0</v>
      </c>
      <c r="D61" s="238">
        <v>0</v>
      </c>
      <c r="E61" s="238">
        <f>F61+G61</f>
        <v>0</v>
      </c>
      <c r="F61" s="238">
        <f t="shared" si="2"/>
        <v>0</v>
      </c>
      <c r="G61" s="238">
        <f>VLOOKUP($A$11,'[1]6.2. отчет'!$D:$AGO,334,0)</f>
        <v>0</v>
      </c>
      <c r="H61" s="238">
        <f>VLOOKUP($A$11,'[1]6.2. отчет'!$D:$AGO,338,0)</f>
        <v>0</v>
      </c>
      <c r="I61" s="238">
        <f>VLOOKUP($A$11,'[1]6.2. отчет'!$D:$AGO,363,0)</f>
        <v>0</v>
      </c>
      <c r="J61" s="238">
        <f>VLOOKUP($A$11,'[1]6.2. отчет'!$D:$AGO,368,0)</f>
        <v>0</v>
      </c>
      <c r="K61" s="238">
        <f>VLOOKUP($A$11,'[1]6.2. отчет'!$D:$AGO,393,0)</f>
        <v>0</v>
      </c>
    </row>
    <row r="62" spans="1:11" x14ac:dyDescent="0.25">
      <c r="A62" s="61" t="s">
        <v>145</v>
      </c>
      <c r="B62" s="242" t="s">
        <v>69</v>
      </c>
      <c r="C62" s="238">
        <f>VLOOKUP($A$11,'[1]6.2. отчет'!$D:$AGO,328,0)</f>
        <v>0</v>
      </c>
      <c r="D62" s="238">
        <v>0</v>
      </c>
      <c r="E62" s="238">
        <f>F62+G62</f>
        <v>0</v>
      </c>
      <c r="F62" s="238">
        <f t="shared" si="2"/>
        <v>0</v>
      </c>
      <c r="G62" s="238">
        <f>VLOOKUP($A$11,'[1]6.2. отчет'!$D:$AGO,335,0)</f>
        <v>0</v>
      </c>
      <c r="H62" s="238">
        <f>VLOOKUP($A$11,'[1]6.2. отчет'!$D:$AGO,339,0)</f>
        <v>0</v>
      </c>
      <c r="I62" s="238">
        <f>VLOOKUP($A$11,'[1]6.2. отчет'!$D:$AGO,364,0)</f>
        <v>0</v>
      </c>
      <c r="J62" s="238">
        <f>VLOOKUP($A$11,'[1]6.2. отчет'!$D:$AGO,369,0)</f>
        <v>0</v>
      </c>
      <c r="K62" s="238">
        <f>VLOOKUP($A$11,'[1]6.2. отчет'!$D:$AGO,394,0)</f>
        <v>0</v>
      </c>
    </row>
    <row r="63" spans="1:11" x14ac:dyDescent="0.25">
      <c r="A63" s="61" t="s">
        <v>146</v>
      </c>
      <c r="B63" s="242" t="s">
        <v>148</v>
      </c>
      <c r="C63" s="238">
        <f>VLOOKUP($A$11,'[1]6.2. отчет'!$D:$AGO,329,0)</f>
        <v>0</v>
      </c>
      <c r="D63" s="238">
        <v>0</v>
      </c>
      <c r="E63" s="238">
        <f>F63+G63</f>
        <v>0</v>
      </c>
      <c r="F63" s="238">
        <f t="shared" si="2"/>
        <v>0</v>
      </c>
      <c r="G63" s="238">
        <f>VLOOKUP($A$11,'[1]6.2. отчет'!$D:$AGO,336,0)</f>
        <v>0</v>
      </c>
      <c r="H63" s="238">
        <f>VLOOKUP($A$11,'[1]6.2. отчет'!$D:$AGO,340,0)</f>
        <v>0</v>
      </c>
      <c r="I63" s="238">
        <f>VLOOKUP($A$11,'[1]6.2. отчет'!$D:$AGO,365,0)</f>
        <v>0</v>
      </c>
      <c r="J63" s="238">
        <f>VLOOKUP($A$11,'[1]6.2. отчет'!$D:$AGO,370,0)</f>
        <v>0</v>
      </c>
      <c r="K63" s="238">
        <f>VLOOKUP($A$11,'[1]6.2. отчет'!$D:$AGO,395,0)</f>
        <v>0</v>
      </c>
    </row>
    <row r="64" spans="1:11" ht="18.75" x14ac:dyDescent="0.25">
      <c r="A64" s="61" t="s">
        <v>147</v>
      </c>
      <c r="B64" s="240" t="s">
        <v>47</v>
      </c>
      <c r="C64" s="238">
        <f>VLOOKUP($A$11,'[1]6.2. отчет'!$D:$AGO,330,0)</f>
        <v>0</v>
      </c>
      <c r="D64" s="238">
        <v>0</v>
      </c>
      <c r="E64" s="238">
        <f>F64+G64</f>
        <v>0</v>
      </c>
      <c r="F64" s="238">
        <f t="shared" si="2"/>
        <v>0</v>
      </c>
      <c r="G64" s="238">
        <f>VLOOKUP($A$11,'[1]6.2. отчет'!$D:$AGO,337,0)</f>
        <v>0</v>
      </c>
      <c r="H64" s="238">
        <f>VLOOKUP($A$11,'[1]6.2. отчет'!$D:$AGO,342,0)</f>
        <v>0</v>
      </c>
      <c r="I64" s="238">
        <f>VLOOKUP($A$11,'[1]6.2. отчет'!$D:$AGO,367,0)</f>
        <v>0</v>
      </c>
      <c r="J64" s="238">
        <f>VLOOKUP($A$11,'[1]6.2. отчет'!$D:$AGO,372,0)</f>
        <v>0</v>
      </c>
      <c r="K64" s="238">
        <f>VLOOKUP($A$11,'[1]6.2. отчет'!$D:$AGO,396,0)</f>
        <v>0</v>
      </c>
    </row>
    <row r="65" spans="1:11" x14ac:dyDescent="0.25">
      <c r="A65" s="58"/>
      <c r="B65" s="59"/>
      <c r="C65" s="102"/>
      <c r="D65" s="102"/>
      <c r="E65" s="102"/>
      <c r="F65" s="102"/>
      <c r="G65" s="102"/>
      <c r="H65" s="102"/>
      <c r="I65" s="59"/>
      <c r="J65" s="59"/>
      <c r="K65" s="59"/>
    </row>
    <row r="66" spans="1:11" ht="54" customHeight="1" x14ac:dyDescent="0.25">
      <c r="A66" s="51"/>
      <c r="B66" s="319"/>
      <c r="C66" s="319"/>
      <c r="D66" s="319"/>
      <c r="E66" s="319"/>
      <c r="F66" s="319"/>
      <c r="G66" s="319"/>
      <c r="H66" s="319"/>
      <c r="I66" s="319"/>
      <c r="J66" s="55"/>
      <c r="K66" s="55"/>
    </row>
    <row r="67" spans="1:11" x14ac:dyDescent="0.25">
      <c r="A67" s="51"/>
      <c r="B67" s="51"/>
      <c r="C67" s="51"/>
      <c r="D67" s="51"/>
      <c r="E67" s="51"/>
      <c r="F67" s="51"/>
    </row>
    <row r="68" spans="1:11" ht="50.25" customHeight="1" x14ac:dyDescent="0.25">
      <c r="A68" s="51"/>
      <c r="B68" s="320"/>
      <c r="C68" s="320"/>
      <c r="D68" s="320"/>
      <c r="E68" s="320"/>
      <c r="F68" s="320"/>
      <c r="G68" s="320"/>
      <c r="H68" s="320"/>
      <c r="I68" s="320"/>
      <c r="J68" s="56"/>
      <c r="K68" s="56"/>
    </row>
    <row r="69" spans="1:11" x14ac:dyDescent="0.25">
      <c r="A69" s="51"/>
      <c r="B69" s="51"/>
      <c r="C69" s="51"/>
      <c r="D69" s="51"/>
      <c r="E69" s="51"/>
      <c r="F69" s="51"/>
    </row>
    <row r="70" spans="1:11" ht="36.75" customHeight="1" x14ac:dyDescent="0.25">
      <c r="A70" s="51"/>
      <c r="B70" s="319"/>
      <c r="C70" s="319"/>
      <c r="D70" s="319"/>
      <c r="E70" s="319"/>
      <c r="F70" s="319"/>
      <c r="G70" s="319"/>
      <c r="H70" s="319"/>
      <c r="I70" s="319"/>
      <c r="J70" s="55"/>
      <c r="K70" s="55"/>
    </row>
    <row r="71" spans="1:11" x14ac:dyDescent="0.25">
      <c r="A71" s="51"/>
      <c r="B71" s="57"/>
      <c r="C71" s="57"/>
      <c r="D71" s="57"/>
      <c r="E71" s="57"/>
      <c r="F71" s="57"/>
    </row>
    <row r="72" spans="1:11" ht="51" customHeight="1" x14ac:dyDescent="0.25">
      <c r="A72" s="51"/>
      <c r="B72" s="319"/>
      <c r="C72" s="319"/>
      <c r="D72" s="319"/>
      <c r="E72" s="319"/>
      <c r="F72" s="319"/>
      <c r="G72" s="319"/>
      <c r="H72" s="319"/>
      <c r="I72" s="319"/>
      <c r="J72" s="55"/>
      <c r="K72" s="55"/>
    </row>
    <row r="73" spans="1:11" ht="32.25" customHeight="1" x14ac:dyDescent="0.25">
      <c r="A73" s="51"/>
      <c r="B73" s="320"/>
      <c r="C73" s="320"/>
      <c r="D73" s="320"/>
      <c r="E73" s="320"/>
      <c r="F73" s="320"/>
      <c r="G73" s="320"/>
      <c r="H73" s="320"/>
      <c r="I73" s="320"/>
      <c r="J73" s="56"/>
      <c r="K73" s="56"/>
    </row>
    <row r="74" spans="1:11" ht="51.75" customHeight="1" x14ac:dyDescent="0.25">
      <c r="A74" s="51"/>
      <c r="B74" s="319"/>
      <c r="C74" s="319"/>
      <c r="D74" s="319"/>
      <c r="E74" s="319"/>
      <c r="F74" s="319"/>
      <c r="G74" s="319"/>
      <c r="H74" s="319"/>
      <c r="I74" s="319"/>
      <c r="J74" s="55"/>
      <c r="K74" s="55"/>
    </row>
    <row r="75" spans="1:11" ht="21.75" customHeight="1" x14ac:dyDescent="0.25">
      <c r="A75" s="51"/>
      <c r="B75" s="321"/>
      <c r="C75" s="321"/>
      <c r="D75" s="321"/>
      <c r="E75" s="321"/>
      <c r="F75" s="321"/>
      <c r="G75" s="321"/>
      <c r="H75" s="321"/>
      <c r="I75" s="321"/>
      <c r="J75" s="54"/>
      <c r="K75" s="54"/>
    </row>
    <row r="76" spans="1:11" ht="23.25" customHeight="1" x14ac:dyDescent="0.25">
      <c r="A76" s="51"/>
      <c r="B76" s="53"/>
      <c r="C76" s="53"/>
      <c r="D76" s="53"/>
      <c r="E76" s="53"/>
      <c r="F76" s="53"/>
    </row>
    <row r="77" spans="1:11" ht="18.75" customHeight="1" x14ac:dyDescent="0.25">
      <c r="A77" s="51"/>
      <c r="B77" s="318"/>
      <c r="C77" s="318"/>
      <c r="D77" s="318"/>
      <c r="E77" s="318"/>
      <c r="F77" s="318"/>
      <c r="G77" s="318"/>
      <c r="H77" s="318"/>
      <c r="I77" s="318"/>
      <c r="J77" s="52"/>
      <c r="K77" s="52"/>
    </row>
    <row r="78" spans="1:11" x14ac:dyDescent="0.25">
      <c r="A78" s="51"/>
      <c r="B78" s="51"/>
      <c r="C78" s="51"/>
      <c r="D78" s="51"/>
      <c r="E78" s="51"/>
      <c r="F78" s="51"/>
    </row>
    <row r="79" spans="1:11" x14ac:dyDescent="0.25">
      <c r="A79" s="51"/>
      <c r="B79" s="51"/>
      <c r="C79" s="51"/>
      <c r="D79" s="51"/>
      <c r="E79" s="51"/>
      <c r="F79" s="51"/>
    </row>
    <row r="80" spans="1:11" x14ac:dyDescent="0.25">
      <c r="G80" s="50"/>
      <c r="H80" s="50"/>
      <c r="I80" s="50"/>
      <c r="J80" s="50"/>
      <c r="K80" s="50"/>
    </row>
    <row r="81" spans="7:11" x14ac:dyDescent="0.25">
      <c r="G81" s="50"/>
      <c r="H81" s="50"/>
      <c r="I81" s="50"/>
      <c r="J81" s="50"/>
      <c r="K81" s="50"/>
    </row>
    <row r="82" spans="7:11" x14ac:dyDescent="0.25">
      <c r="G82" s="50"/>
      <c r="H82" s="50"/>
      <c r="I82" s="50"/>
      <c r="J82" s="50"/>
      <c r="K82" s="50"/>
    </row>
    <row r="83" spans="7:11" x14ac:dyDescent="0.25">
      <c r="G83" s="50"/>
      <c r="H83" s="50"/>
      <c r="I83" s="50"/>
      <c r="J83" s="50"/>
      <c r="K83" s="50"/>
    </row>
    <row r="84" spans="7:11" x14ac:dyDescent="0.25">
      <c r="G84" s="50"/>
      <c r="H84" s="50"/>
      <c r="I84" s="50"/>
      <c r="J84" s="50"/>
      <c r="K84" s="50"/>
    </row>
    <row r="85" spans="7:11" x14ac:dyDescent="0.25">
      <c r="G85" s="50"/>
      <c r="H85" s="50"/>
      <c r="I85" s="50"/>
      <c r="J85" s="50"/>
      <c r="K85" s="50"/>
    </row>
    <row r="86" spans="7:11" x14ac:dyDescent="0.25">
      <c r="G86" s="50"/>
      <c r="H86" s="50"/>
      <c r="I86" s="50"/>
      <c r="J86" s="50"/>
      <c r="K86" s="50"/>
    </row>
    <row r="87" spans="7:11" x14ac:dyDescent="0.25">
      <c r="G87" s="50"/>
      <c r="H87" s="50"/>
      <c r="I87" s="50"/>
      <c r="J87" s="50"/>
      <c r="K87" s="50"/>
    </row>
    <row r="88" spans="7:11" x14ac:dyDescent="0.25">
      <c r="G88" s="50"/>
      <c r="H88" s="50"/>
      <c r="I88" s="50"/>
      <c r="J88" s="50"/>
      <c r="K88" s="50"/>
    </row>
    <row r="89" spans="7:11" x14ac:dyDescent="0.25">
      <c r="G89" s="50"/>
      <c r="H89" s="50"/>
      <c r="I89" s="50"/>
      <c r="J89" s="50"/>
      <c r="K89" s="50"/>
    </row>
    <row r="90" spans="7:11" x14ac:dyDescent="0.25">
      <c r="G90" s="50"/>
      <c r="H90" s="50"/>
      <c r="I90" s="50"/>
      <c r="J90" s="50"/>
      <c r="K90" s="50"/>
    </row>
    <row r="91" spans="7:11" x14ac:dyDescent="0.25">
      <c r="G91" s="50"/>
      <c r="H91" s="50"/>
      <c r="I91" s="50"/>
      <c r="J91" s="50"/>
      <c r="K91" s="50"/>
    </row>
    <row r="92" spans="7:11" x14ac:dyDescent="0.25">
      <c r="G92" s="50"/>
      <c r="H92" s="50"/>
      <c r="I92" s="50"/>
      <c r="J92" s="50"/>
      <c r="K92" s="50"/>
    </row>
  </sheetData>
  <mergeCells count="26">
    <mergeCell ref="A4:K4"/>
    <mergeCell ref="A12:K12"/>
    <mergeCell ref="A9:K9"/>
    <mergeCell ref="A11:K11"/>
    <mergeCell ref="A8:K8"/>
    <mergeCell ref="A6:K6"/>
    <mergeCell ref="A14:K14"/>
    <mergeCell ref="A15:K15"/>
    <mergeCell ref="A20:A22"/>
    <mergeCell ref="E20:F21"/>
    <mergeCell ref="A18:K18"/>
    <mergeCell ref="A16:K16"/>
    <mergeCell ref="J21:K21"/>
    <mergeCell ref="C20:D21"/>
    <mergeCell ref="G20:G22"/>
    <mergeCell ref="H20:K20"/>
    <mergeCell ref="B20:B22"/>
    <mergeCell ref="H21:I21"/>
    <mergeCell ref="B77:I77"/>
    <mergeCell ref="B66:I66"/>
    <mergeCell ref="B68:I68"/>
    <mergeCell ref="B70:I70"/>
    <mergeCell ref="B72:I72"/>
    <mergeCell ref="B75:I75"/>
    <mergeCell ref="B73:I73"/>
    <mergeCell ref="B74:I74"/>
  </mergeCells>
  <phoneticPr fontId="46" type="noConversion"/>
  <conditionalFormatting sqref="K30">
    <cfRule type="cellIs" dxfId="7" priority="9" operator="notEqual">
      <formula>K31+K32+K33+K34</formula>
    </cfRule>
  </conditionalFormatting>
  <conditionalFormatting sqref="J30">
    <cfRule type="cellIs" dxfId="6" priority="8" operator="notEqual">
      <formula>J31+J32+J33+J34</formula>
    </cfRule>
  </conditionalFormatting>
  <conditionalFormatting sqref="I30">
    <cfRule type="cellIs" dxfId="5" priority="7" operator="notEqual">
      <formula>I31+I32+I33+I34</formula>
    </cfRule>
  </conditionalFormatting>
  <conditionalFormatting sqref="H30">
    <cfRule type="cellIs" dxfId="4" priority="6" operator="notEqual">
      <formula>H31+H32+H33+H34</formula>
    </cfRule>
  </conditionalFormatting>
  <conditionalFormatting sqref="G30">
    <cfRule type="cellIs" dxfId="3" priority="5" operator="notEqual">
      <formula>G31+G32+G33+G34</formula>
    </cfRule>
  </conditionalFormatting>
  <conditionalFormatting sqref="F30">
    <cfRule type="cellIs" dxfId="2" priority="4" operator="notEqual">
      <formula>F31+F32+F33+F34</formula>
    </cfRule>
  </conditionalFormatting>
  <conditionalFormatting sqref="E30">
    <cfRule type="cellIs" dxfId="1" priority="3" operator="notEqual">
      <formula>E31+E32+E33+E34</formula>
    </cfRule>
  </conditionalFormatting>
  <conditionalFormatting sqref="D30">
    <cfRule type="cellIs" dxfId="0" priority="2" operator="notEqual">
      <formula>D31+D32+D33+D34</formula>
    </cfRule>
  </conditionalFormatting>
  <pageMargins left="0.39370078740157483" right="0.39370078740157483" top="0.78740157480314965" bottom="0.39370078740157483" header="0.31496062992125984" footer="0.31496062992125984"/>
  <pageSetup paperSize="8" scale="46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V29"/>
  <sheetViews>
    <sheetView view="pageBreakPreview" topLeftCell="L10" zoomScale="70" zoomScaleNormal="100" zoomScaleSheetLayoutView="70" workbookViewId="0">
      <selection activeCell="Q37" sqref="Q37"/>
    </sheetView>
  </sheetViews>
  <sheetFormatPr defaultRowHeight="15" x14ac:dyDescent="0.25"/>
  <cols>
    <col min="1" max="1" width="6.140625" style="147" customWidth="1"/>
    <col min="2" max="2" width="23.140625" style="147" customWidth="1"/>
    <col min="3" max="3" width="13.85546875" style="147" customWidth="1"/>
    <col min="4" max="4" width="15.140625" style="147" customWidth="1"/>
    <col min="5" max="12" width="7.7109375" style="147" customWidth="1"/>
    <col min="13" max="13" width="15.85546875" style="147" customWidth="1"/>
    <col min="14" max="14" width="62.140625" style="147" customWidth="1"/>
    <col min="15" max="15" width="19.140625" style="147" customWidth="1"/>
    <col min="16" max="16" width="16.28515625" style="147" customWidth="1"/>
    <col min="17" max="17" width="13.42578125" style="147" customWidth="1"/>
    <col min="18" max="18" width="17" style="147" customWidth="1"/>
    <col min="19" max="20" width="15" style="147" customWidth="1"/>
    <col min="21" max="21" width="11.42578125" style="147" customWidth="1"/>
    <col min="22" max="22" width="12.7109375" style="147" customWidth="1"/>
    <col min="23" max="23" width="21.5703125" style="147" customWidth="1"/>
    <col min="24" max="24" width="14.7109375" style="147" customWidth="1"/>
    <col min="25" max="25" width="14.140625" style="147" customWidth="1"/>
    <col min="26" max="26" width="7.7109375" style="147" customWidth="1"/>
    <col min="27" max="27" width="14.5703125" style="147" customWidth="1"/>
    <col min="28" max="28" width="13.5703125" style="147" customWidth="1"/>
    <col min="29" max="29" width="13.42578125" style="147" customWidth="1"/>
    <col min="30" max="30" width="14.140625" style="147" customWidth="1"/>
    <col min="31" max="31" width="19.5703125" style="147" customWidth="1"/>
    <col min="32" max="32" width="13.42578125" style="147" customWidth="1"/>
    <col min="33" max="33" width="14.28515625" style="147" customWidth="1"/>
    <col min="34" max="34" width="21.140625" style="147" customWidth="1"/>
    <col min="35" max="35" width="12.42578125" style="147" customWidth="1"/>
    <col min="36" max="36" width="14.5703125" style="147" customWidth="1"/>
    <col min="37" max="37" width="12" style="147" customWidth="1"/>
    <col min="38" max="38" width="12.28515625" style="147" customWidth="1"/>
    <col min="39" max="39" width="18.42578125" style="147" customWidth="1"/>
    <col min="40" max="40" width="13" style="147" customWidth="1"/>
    <col min="41" max="41" width="16.85546875" style="147" customWidth="1"/>
    <col min="42" max="47" width="9.140625" style="147"/>
    <col min="48" max="48" width="21.42578125" style="147" customWidth="1"/>
    <col min="49" max="16384" width="9.140625" style="147"/>
  </cols>
  <sheetData>
    <row r="5" spans="1:41" ht="18.75" customHeight="1" x14ac:dyDescent="0.25">
      <c r="A5" s="336" t="str">
        <f>'1. паспорт местоположение'!$A$5</f>
        <v>Год раскрытия информации: 2019 год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</row>
    <row r="7" spans="1:41" ht="18.75" x14ac:dyDescent="0.25">
      <c r="A7" s="337" t="s">
        <v>5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7"/>
      <c r="AC7" s="337"/>
      <c r="AD7" s="337"/>
      <c r="AE7" s="337"/>
      <c r="AF7" s="337"/>
      <c r="AG7" s="337"/>
      <c r="AH7" s="337"/>
      <c r="AI7" s="337"/>
      <c r="AJ7" s="337"/>
      <c r="AK7" s="337"/>
      <c r="AL7" s="337"/>
      <c r="AM7" s="337"/>
      <c r="AN7" s="337"/>
      <c r="AO7" s="337"/>
    </row>
    <row r="8" spans="1:41" ht="18.75" x14ac:dyDescent="0.25">
      <c r="A8" s="337"/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</row>
    <row r="9" spans="1:41" ht="15.75" x14ac:dyDescent="0.25">
      <c r="A9" s="338" t="s">
        <v>294</v>
      </c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8"/>
      <c r="Z9" s="338"/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8"/>
      <c r="AL9" s="338"/>
      <c r="AM9" s="338"/>
      <c r="AN9" s="338"/>
      <c r="AO9" s="338"/>
    </row>
    <row r="10" spans="1:41" ht="15.75" x14ac:dyDescent="0.25">
      <c r="A10" s="342" t="s">
        <v>4</v>
      </c>
      <c r="B10" s="342"/>
      <c r="C10" s="342"/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42"/>
      <c r="X10" s="342"/>
      <c r="Y10" s="342"/>
      <c r="Z10" s="342"/>
      <c r="AA10" s="342"/>
      <c r="AB10" s="342"/>
      <c r="AC10" s="342"/>
      <c r="AD10" s="342"/>
      <c r="AE10" s="342"/>
      <c r="AF10" s="342"/>
      <c r="AG10" s="342"/>
      <c r="AH10" s="342"/>
      <c r="AI10" s="342"/>
      <c r="AJ10" s="342"/>
      <c r="AK10" s="342"/>
      <c r="AL10" s="342"/>
      <c r="AM10" s="342"/>
      <c r="AN10" s="342"/>
      <c r="AO10" s="342"/>
    </row>
    <row r="11" spans="1:41" ht="18.75" x14ac:dyDescent="0.25">
      <c r="A11" s="337"/>
      <c r="B11" s="337"/>
      <c r="C11" s="337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</row>
    <row r="12" spans="1:41" ht="15.75" x14ac:dyDescent="0.25">
      <c r="A12" s="338" t="str">
        <f>'1. паспорт местоположение'!A12:C12</f>
        <v>I_Che152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8"/>
      <c r="U12" s="338"/>
      <c r="V12" s="338"/>
      <c r="W12" s="338"/>
      <c r="X12" s="338"/>
      <c r="Y12" s="338"/>
      <c r="Z12" s="338"/>
      <c r="AA12" s="338"/>
      <c r="AB12" s="338"/>
      <c r="AC12" s="338"/>
      <c r="AD12" s="338"/>
      <c r="AE12" s="338"/>
      <c r="AF12" s="338"/>
      <c r="AG12" s="338"/>
      <c r="AH12" s="338"/>
      <c r="AI12" s="338"/>
      <c r="AJ12" s="338"/>
      <c r="AK12" s="338"/>
      <c r="AL12" s="338"/>
      <c r="AM12" s="338"/>
      <c r="AN12" s="338"/>
      <c r="AO12" s="338"/>
    </row>
    <row r="13" spans="1:41" ht="15.75" x14ac:dyDescent="0.25">
      <c r="A13" s="342" t="s">
        <v>3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2"/>
      <c r="Z13" s="342"/>
      <c r="AA13" s="342"/>
      <c r="AB13" s="342"/>
      <c r="AC13" s="342"/>
      <c r="AD13" s="342"/>
      <c r="AE13" s="342"/>
      <c r="AF13" s="342"/>
      <c r="AG13" s="342"/>
      <c r="AH13" s="342"/>
      <c r="AI13" s="342"/>
      <c r="AJ13" s="342"/>
      <c r="AK13" s="342"/>
      <c r="AL13" s="342"/>
      <c r="AM13" s="342"/>
      <c r="AN13" s="342"/>
      <c r="AO13" s="342"/>
    </row>
    <row r="14" spans="1:41" ht="18.75" x14ac:dyDescent="0.25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3"/>
      <c r="AL14" s="343"/>
      <c r="AM14" s="343"/>
      <c r="AN14" s="343"/>
      <c r="AO14" s="343"/>
    </row>
    <row r="15" spans="1:41" ht="15.75" x14ac:dyDescent="0.25">
      <c r="A15" s="338" t="str">
        <f>'1. паспорт местоположение'!A15:C15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5" s="338"/>
      <c r="C15" s="338"/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/>
      <c r="AE15" s="338"/>
      <c r="AF15" s="338"/>
      <c r="AG15" s="338"/>
      <c r="AH15" s="338"/>
      <c r="AI15" s="338"/>
      <c r="AJ15" s="338"/>
      <c r="AK15" s="338"/>
      <c r="AL15" s="338"/>
      <c r="AM15" s="338"/>
      <c r="AN15" s="338"/>
      <c r="AO15" s="338"/>
    </row>
    <row r="16" spans="1:41" ht="15.75" x14ac:dyDescent="0.25">
      <c r="A16" s="342" t="s">
        <v>2</v>
      </c>
      <c r="B16" s="342"/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2"/>
      <c r="Z16" s="342"/>
      <c r="AA16" s="342"/>
      <c r="AB16" s="342"/>
      <c r="AC16" s="342"/>
      <c r="AD16" s="342"/>
      <c r="AE16" s="342"/>
      <c r="AF16" s="342"/>
      <c r="AG16" s="342"/>
      <c r="AH16" s="342"/>
      <c r="AI16" s="342"/>
      <c r="AJ16" s="342"/>
      <c r="AK16" s="342"/>
      <c r="AL16" s="342"/>
      <c r="AM16" s="342"/>
      <c r="AN16" s="342"/>
      <c r="AO16" s="342"/>
    </row>
    <row r="17" spans="1:48" x14ac:dyDescent="0.25">
      <c r="A17" s="344"/>
      <c r="B17" s="344"/>
      <c r="C17" s="344"/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4"/>
      <c r="AD17" s="344"/>
      <c r="AE17" s="344"/>
      <c r="AF17" s="344"/>
      <c r="AG17" s="344"/>
      <c r="AH17" s="344"/>
      <c r="AI17" s="344"/>
      <c r="AJ17" s="344"/>
      <c r="AK17" s="344"/>
      <c r="AL17" s="344"/>
      <c r="AM17" s="344"/>
      <c r="AN17" s="344"/>
      <c r="AO17" s="344"/>
    </row>
    <row r="18" spans="1:48" ht="14.25" customHeight="1" x14ac:dyDescent="0.25">
      <c r="A18" s="344"/>
      <c r="B18" s="344"/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4"/>
      <c r="AI18" s="344"/>
      <c r="AJ18" s="344"/>
      <c r="AK18" s="344"/>
      <c r="AL18" s="344"/>
      <c r="AM18" s="344"/>
      <c r="AN18" s="344"/>
      <c r="AO18" s="344"/>
    </row>
    <row r="19" spans="1:48" x14ac:dyDescent="0.25">
      <c r="A19" s="344"/>
      <c r="B19" s="344"/>
      <c r="C19" s="344"/>
      <c r="D19" s="344"/>
      <c r="E19" s="344"/>
      <c r="F19" s="344"/>
      <c r="G19" s="344"/>
      <c r="H19" s="344"/>
      <c r="I19" s="344"/>
      <c r="J19" s="344"/>
      <c r="K19" s="344"/>
      <c r="L19" s="344"/>
      <c r="M19" s="344"/>
      <c r="N19" s="344"/>
      <c r="O19" s="344"/>
      <c r="P19" s="344"/>
      <c r="Q19" s="344"/>
      <c r="R19" s="344"/>
      <c r="S19" s="344"/>
      <c r="T19" s="344"/>
      <c r="U19" s="344"/>
      <c r="V19" s="344"/>
      <c r="W19" s="344"/>
      <c r="X19" s="344"/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44"/>
      <c r="AM19" s="344"/>
      <c r="AN19" s="344"/>
      <c r="AO19" s="344"/>
    </row>
    <row r="20" spans="1:48" x14ac:dyDescent="0.25">
      <c r="A20" s="344"/>
      <c r="B20" s="344"/>
      <c r="C20" s="344"/>
      <c r="D20" s="344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344"/>
    </row>
    <row r="21" spans="1:48" x14ac:dyDescent="0.25">
      <c r="A21" s="346" t="s">
        <v>395</v>
      </c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</row>
    <row r="22" spans="1:48" ht="58.5" customHeight="1" x14ac:dyDescent="0.25">
      <c r="A22" s="339" t="s">
        <v>396</v>
      </c>
      <c r="B22" s="347" t="s">
        <v>397</v>
      </c>
      <c r="C22" s="339" t="s">
        <v>398</v>
      </c>
      <c r="D22" s="339" t="s">
        <v>399</v>
      </c>
      <c r="E22" s="353" t="s">
        <v>400</v>
      </c>
      <c r="F22" s="354"/>
      <c r="G22" s="354"/>
      <c r="H22" s="354"/>
      <c r="I22" s="354"/>
      <c r="J22" s="354"/>
      <c r="K22" s="354"/>
      <c r="L22" s="355"/>
      <c r="M22" s="339" t="s">
        <v>401</v>
      </c>
      <c r="N22" s="339" t="s">
        <v>402</v>
      </c>
      <c r="O22" s="339" t="s">
        <v>403</v>
      </c>
      <c r="P22" s="345" t="s">
        <v>404</v>
      </c>
      <c r="Q22" s="345" t="s">
        <v>405</v>
      </c>
      <c r="R22" s="345" t="s">
        <v>406</v>
      </c>
      <c r="S22" s="345" t="s">
        <v>407</v>
      </c>
      <c r="T22" s="345"/>
      <c r="U22" s="350" t="s">
        <v>408</v>
      </c>
      <c r="V22" s="350" t="s">
        <v>409</v>
      </c>
      <c r="W22" s="345" t="s">
        <v>410</v>
      </c>
      <c r="X22" s="345" t="s">
        <v>411</v>
      </c>
      <c r="Y22" s="345" t="s">
        <v>412</v>
      </c>
      <c r="Z22" s="364" t="s">
        <v>413</v>
      </c>
      <c r="AA22" s="345" t="s">
        <v>414</v>
      </c>
      <c r="AB22" s="345" t="s">
        <v>415</v>
      </c>
      <c r="AC22" s="345" t="s">
        <v>416</v>
      </c>
      <c r="AD22" s="345" t="s">
        <v>417</v>
      </c>
      <c r="AE22" s="345" t="s">
        <v>418</v>
      </c>
      <c r="AF22" s="345" t="s">
        <v>419</v>
      </c>
      <c r="AG22" s="345"/>
      <c r="AH22" s="345"/>
      <c r="AI22" s="345"/>
      <c r="AJ22" s="345"/>
      <c r="AK22" s="345"/>
      <c r="AL22" s="345" t="s">
        <v>504</v>
      </c>
      <c r="AM22" s="345"/>
      <c r="AN22" s="345"/>
      <c r="AO22" s="345"/>
      <c r="AP22" s="345" t="s">
        <v>420</v>
      </c>
      <c r="AQ22" s="345"/>
      <c r="AR22" s="345" t="s">
        <v>421</v>
      </c>
      <c r="AS22" s="345" t="s">
        <v>422</v>
      </c>
      <c r="AT22" s="345" t="s">
        <v>423</v>
      </c>
      <c r="AU22" s="345" t="s">
        <v>424</v>
      </c>
      <c r="AV22" s="365" t="s">
        <v>425</v>
      </c>
    </row>
    <row r="23" spans="1:48" ht="64.5" customHeight="1" x14ac:dyDescent="0.25">
      <c r="A23" s="340"/>
      <c r="B23" s="348"/>
      <c r="C23" s="340"/>
      <c r="D23" s="340"/>
      <c r="E23" s="334" t="s">
        <v>426</v>
      </c>
      <c r="F23" s="332" t="s">
        <v>51</v>
      </c>
      <c r="G23" s="332" t="s">
        <v>50</v>
      </c>
      <c r="H23" s="332" t="s">
        <v>49</v>
      </c>
      <c r="I23" s="351" t="s">
        <v>427</v>
      </c>
      <c r="J23" s="351" t="s">
        <v>428</v>
      </c>
      <c r="K23" s="351" t="s">
        <v>429</v>
      </c>
      <c r="L23" s="332" t="s">
        <v>388</v>
      </c>
      <c r="M23" s="340"/>
      <c r="N23" s="340"/>
      <c r="O23" s="340"/>
      <c r="P23" s="345"/>
      <c r="Q23" s="345"/>
      <c r="R23" s="345"/>
      <c r="S23" s="362" t="s">
        <v>0</v>
      </c>
      <c r="T23" s="362" t="s">
        <v>430</v>
      </c>
      <c r="U23" s="350"/>
      <c r="V23" s="350"/>
      <c r="W23" s="345"/>
      <c r="X23" s="345"/>
      <c r="Y23" s="345"/>
      <c r="Z23" s="345"/>
      <c r="AA23" s="345"/>
      <c r="AB23" s="345"/>
      <c r="AC23" s="345"/>
      <c r="AD23" s="345"/>
      <c r="AE23" s="345"/>
      <c r="AF23" s="345" t="s">
        <v>431</v>
      </c>
      <c r="AG23" s="345"/>
      <c r="AH23" s="345" t="s">
        <v>505</v>
      </c>
      <c r="AI23" s="345"/>
      <c r="AJ23" s="339" t="s">
        <v>506</v>
      </c>
      <c r="AK23" s="339" t="s">
        <v>432</v>
      </c>
      <c r="AL23" s="339" t="s">
        <v>507</v>
      </c>
      <c r="AM23" s="339" t="s">
        <v>508</v>
      </c>
      <c r="AN23" s="339" t="s">
        <v>509</v>
      </c>
      <c r="AO23" s="339" t="s">
        <v>510</v>
      </c>
      <c r="AP23" s="339" t="s">
        <v>433</v>
      </c>
      <c r="AQ23" s="367" t="s">
        <v>430</v>
      </c>
      <c r="AR23" s="345"/>
      <c r="AS23" s="345"/>
      <c r="AT23" s="345"/>
      <c r="AU23" s="345"/>
      <c r="AV23" s="366"/>
    </row>
    <row r="24" spans="1:48" ht="81.75" customHeight="1" x14ac:dyDescent="0.25">
      <c r="A24" s="341"/>
      <c r="B24" s="349"/>
      <c r="C24" s="341"/>
      <c r="D24" s="341"/>
      <c r="E24" s="335"/>
      <c r="F24" s="333"/>
      <c r="G24" s="333"/>
      <c r="H24" s="333"/>
      <c r="I24" s="352"/>
      <c r="J24" s="352"/>
      <c r="K24" s="352"/>
      <c r="L24" s="333"/>
      <c r="M24" s="341"/>
      <c r="N24" s="341"/>
      <c r="O24" s="341"/>
      <c r="P24" s="345"/>
      <c r="Q24" s="345"/>
      <c r="R24" s="345"/>
      <c r="S24" s="363"/>
      <c r="T24" s="363"/>
      <c r="U24" s="350"/>
      <c r="V24" s="350"/>
      <c r="W24" s="345"/>
      <c r="X24" s="345"/>
      <c r="Y24" s="345"/>
      <c r="Z24" s="345"/>
      <c r="AA24" s="345"/>
      <c r="AB24" s="345"/>
      <c r="AC24" s="345"/>
      <c r="AD24" s="345"/>
      <c r="AE24" s="345"/>
      <c r="AF24" s="210" t="s">
        <v>434</v>
      </c>
      <c r="AG24" s="210" t="s">
        <v>435</v>
      </c>
      <c r="AH24" s="211" t="s">
        <v>0</v>
      </c>
      <c r="AI24" s="211" t="s">
        <v>430</v>
      </c>
      <c r="AJ24" s="341"/>
      <c r="AK24" s="341"/>
      <c r="AL24" s="341"/>
      <c r="AM24" s="341"/>
      <c r="AN24" s="341"/>
      <c r="AO24" s="341"/>
      <c r="AP24" s="341"/>
      <c r="AQ24" s="368"/>
      <c r="AR24" s="345"/>
      <c r="AS24" s="345"/>
      <c r="AT24" s="345"/>
      <c r="AU24" s="345"/>
      <c r="AV24" s="366"/>
    </row>
    <row r="25" spans="1:48" s="180" customFormat="1" ht="21.75" customHeight="1" x14ac:dyDescent="0.2">
      <c r="A25" s="212">
        <v>1</v>
      </c>
      <c r="B25" s="212">
        <v>2</v>
      </c>
      <c r="C25" s="212">
        <v>4</v>
      </c>
      <c r="D25" s="212">
        <v>5</v>
      </c>
      <c r="E25" s="212">
        <v>6</v>
      </c>
      <c r="F25" s="212">
        <f t="shared" ref="F25:AV25" si="0">E25+1</f>
        <v>7</v>
      </c>
      <c r="G25" s="212">
        <f t="shared" si="0"/>
        <v>8</v>
      </c>
      <c r="H25" s="212">
        <f t="shared" si="0"/>
        <v>9</v>
      </c>
      <c r="I25" s="212">
        <f t="shared" si="0"/>
        <v>10</v>
      </c>
      <c r="J25" s="212">
        <f t="shared" si="0"/>
        <v>11</v>
      </c>
      <c r="K25" s="212">
        <f t="shared" si="0"/>
        <v>12</v>
      </c>
      <c r="L25" s="212">
        <f t="shared" si="0"/>
        <v>13</v>
      </c>
      <c r="M25" s="212">
        <f t="shared" si="0"/>
        <v>14</v>
      </c>
      <c r="N25" s="212">
        <f t="shared" si="0"/>
        <v>15</v>
      </c>
      <c r="O25" s="212">
        <f t="shared" si="0"/>
        <v>16</v>
      </c>
      <c r="P25" s="212">
        <f t="shared" si="0"/>
        <v>17</v>
      </c>
      <c r="Q25" s="212">
        <f t="shared" si="0"/>
        <v>18</v>
      </c>
      <c r="R25" s="212">
        <f t="shared" si="0"/>
        <v>19</v>
      </c>
      <c r="S25" s="212">
        <f t="shared" si="0"/>
        <v>20</v>
      </c>
      <c r="T25" s="212">
        <f t="shared" si="0"/>
        <v>21</v>
      </c>
      <c r="U25" s="212">
        <f t="shared" si="0"/>
        <v>22</v>
      </c>
      <c r="V25" s="212">
        <f t="shared" si="0"/>
        <v>23</v>
      </c>
      <c r="W25" s="212">
        <f t="shared" si="0"/>
        <v>24</v>
      </c>
      <c r="X25" s="212">
        <f t="shared" si="0"/>
        <v>25</v>
      </c>
      <c r="Y25" s="212">
        <f t="shared" si="0"/>
        <v>26</v>
      </c>
      <c r="Z25" s="212">
        <f t="shared" si="0"/>
        <v>27</v>
      </c>
      <c r="AA25" s="212">
        <f t="shared" si="0"/>
        <v>28</v>
      </c>
      <c r="AB25" s="212">
        <f t="shared" si="0"/>
        <v>29</v>
      </c>
      <c r="AC25" s="212">
        <f t="shared" si="0"/>
        <v>30</v>
      </c>
      <c r="AD25" s="212">
        <f t="shared" si="0"/>
        <v>31</v>
      </c>
      <c r="AE25" s="212">
        <f t="shared" si="0"/>
        <v>32</v>
      </c>
      <c r="AF25" s="212">
        <f t="shared" si="0"/>
        <v>33</v>
      </c>
      <c r="AG25" s="212">
        <f t="shared" si="0"/>
        <v>34</v>
      </c>
      <c r="AH25" s="212">
        <f t="shared" si="0"/>
        <v>35</v>
      </c>
      <c r="AI25" s="212">
        <f t="shared" si="0"/>
        <v>36</v>
      </c>
      <c r="AJ25" s="212">
        <f t="shared" si="0"/>
        <v>37</v>
      </c>
      <c r="AK25" s="212">
        <f t="shared" si="0"/>
        <v>38</v>
      </c>
      <c r="AL25" s="212">
        <f t="shared" si="0"/>
        <v>39</v>
      </c>
      <c r="AM25" s="212">
        <f t="shared" si="0"/>
        <v>40</v>
      </c>
      <c r="AN25" s="212">
        <f t="shared" si="0"/>
        <v>41</v>
      </c>
      <c r="AO25" s="212">
        <f t="shared" si="0"/>
        <v>42</v>
      </c>
      <c r="AP25" s="212">
        <f t="shared" si="0"/>
        <v>43</v>
      </c>
      <c r="AQ25" s="212">
        <f t="shared" si="0"/>
        <v>44</v>
      </c>
      <c r="AR25" s="212">
        <f t="shared" si="0"/>
        <v>45</v>
      </c>
      <c r="AS25" s="212">
        <f t="shared" si="0"/>
        <v>46</v>
      </c>
      <c r="AT25" s="212">
        <f t="shared" si="0"/>
        <v>47</v>
      </c>
      <c r="AU25" s="212">
        <f t="shared" si="0"/>
        <v>48</v>
      </c>
      <c r="AV25" s="212">
        <f t="shared" si="0"/>
        <v>49</v>
      </c>
    </row>
    <row r="26" spans="1:48" s="170" customFormat="1" ht="147" customHeight="1" x14ac:dyDescent="0.25">
      <c r="A26" s="213">
        <v>1</v>
      </c>
      <c r="B26" s="214" t="s">
        <v>294</v>
      </c>
      <c r="C26" s="215" t="s">
        <v>492</v>
      </c>
      <c r="D26" s="215" t="s">
        <v>511</v>
      </c>
      <c r="E26" s="214"/>
      <c r="F26" s="214" t="s">
        <v>499</v>
      </c>
      <c r="G26" s="214" t="s">
        <v>499</v>
      </c>
      <c r="H26" s="214" t="s">
        <v>499</v>
      </c>
      <c r="I26" s="214" t="s">
        <v>499</v>
      </c>
      <c r="J26" s="214" t="s">
        <v>450</v>
      </c>
      <c r="K26" s="214" t="s">
        <v>499</v>
      </c>
      <c r="L26" s="214" t="s">
        <v>499</v>
      </c>
      <c r="M26" s="216" t="s">
        <v>500</v>
      </c>
      <c r="N26" s="216" t="s">
        <v>480</v>
      </c>
      <c r="O26" s="216" t="s">
        <v>281</v>
      </c>
      <c r="P26" s="216" t="s">
        <v>481</v>
      </c>
      <c r="Q26" s="216" t="s">
        <v>439</v>
      </c>
      <c r="R26" s="216" t="s">
        <v>481</v>
      </c>
      <c r="S26" s="216" t="s">
        <v>447</v>
      </c>
      <c r="T26" s="216" t="s">
        <v>447</v>
      </c>
      <c r="U26" s="216" t="s">
        <v>15</v>
      </c>
      <c r="V26" s="216" t="s">
        <v>15</v>
      </c>
      <c r="W26" s="216" t="s">
        <v>512</v>
      </c>
      <c r="X26" s="216" t="s">
        <v>513</v>
      </c>
      <c r="Y26" s="216" t="s">
        <v>514</v>
      </c>
      <c r="Z26" s="216" t="s">
        <v>18</v>
      </c>
      <c r="AA26" s="216" t="s">
        <v>515</v>
      </c>
      <c r="AB26" s="216" t="s">
        <v>515</v>
      </c>
      <c r="AC26" s="216" t="s">
        <v>482</v>
      </c>
      <c r="AD26" s="217" t="s">
        <v>483</v>
      </c>
      <c r="AE26" s="218">
        <v>0</v>
      </c>
      <c r="AF26" s="216" t="s">
        <v>516</v>
      </c>
      <c r="AG26" s="219" t="s">
        <v>517</v>
      </c>
      <c r="AH26" s="216" t="s">
        <v>518</v>
      </c>
      <c r="AI26" s="216" t="s">
        <v>518</v>
      </c>
      <c r="AJ26" s="216" t="s">
        <v>519</v>
      </c>
      <c r="AK26" s="216" t="s">
        <v>484</v>
      </c>
      <c r="AL26" s="369" t="s">
        <v>520</v>
      </c>
      <c r="AM26" s="370"/>
      <c r="AN26" s="370"/>
      <c r="AO26" s="371"/>
      <c r="AP26" s="216" t="s">
        <v>486</v>
      </c>
      <c r="AQ26" s="216" t="s">
        <v>486</v>
      </c>
      <c r="AR26" s="216" t="s">
        <v>486</v>
      </c>
      <c r="AS26" s="216" t="s">
        <v>486</v>
      </c>
      <c r="AT26" s="216" t="s">
        <v>521</v>
      </c>
      <c r="AU26" s="216"/>
      <c r="AV26" s="216" t="s">
        <v>522</v>
      </c>
    </row>
    <row r="27" spans="1:48" s="170" customFormat="1" ht="38.25" customHeight="1" x14ac:dyDescent="0.25">
      <c r="A27" s="220">
        <v>2</v>
      </c>
      <c r="B27" s="215" t="s">
        <v>294</v>
      </c>
      <c r="C27" s="215" t="s">
        <v>492</v>
      </c>
      <c r="D27" s="215" t="s">
        <v>498</v>
      </c>
      <c r="E27" s="217"/>
      <c r="F27" s="217" t="s">
        <v>499</v>
      </c>
      <c r="G27" s="217" t="s">
        <v>499</v>
      </c>
      <c r="H27" s="217" t="s">
        <v>499</v>
      </c>
      <c r="I27" s="217" t="s">
        <v>499</v>
      </c>
      <c r="J27" s="217" t="s">
        <v>450</v>
      </c>
      <c r="K27" s="217" t="s">
        <v>499</v>
      </c>
      <c r="L27" s="217" t="s">
        <v>499</v>
      </c>
      <c r="M27" s="217" t="s">
        <v>500</v>
      </c>
      <c r="N27" s="217" t="s">
        <v>480</v>
      </c>
      <c r="O27" s="359" t="s">
        <v>501</v>
      </c>
      <c r="P27" s="360"/>
      <c r="Q27" s="360"/>
      <c r="R27" s="360"/>
      <c r="S27" s="360"/>
      <c r="T27" s="360"/>
      <c r="U27" s="360"/>
      <c r="V27" s="360"/>
      <c r="W27" s="360"/>
      <c r="X27" s="360"/>
      <c r="Y27" s="360"/>
      <c r="Z27" s="360"/>
      <c r="AA27" s="360"/>
      <c r="AB27" s="360"/>
      <c r="AC27" s="361"/>
      <c r="AD27" s="221">
        <v>25594.193380000001</v>
      </c>
      <c r="AE27" s="218">
        <v>5380.7252941999996</v>
      </c>
      <c r="AF27" s="217"/>
      <c r="AG27" s="222"/>
      <c r="AH27" s="217"/>
      <c r="AI27" s="217"/>
      <c r="AJ27" s="217"/>
      <c r="AK27" s="217"/>
      <c r="AL27" s="223"/>
      <c r="AM27" s="224"/>
      <c r="AN27" s="224"/>
      <c r="AO27" s="225"/>
      <c r="AP27" s="217" t="s">
        <v>502</v>
      </c>
      <c r="AQ27" s="217" t="s">
        <v>502</v>
      </c>
      <c r="AR27" s="217" t="s">
        <v>502</v>
      </c>
      <c r="AS27" s="217" t="s">
        <v>502</v>
      </c>
      <c r="AT27" s="217" t="s">
        <v>503</v>
      </c>
      <c r="AU27" s="217"/>
      <c r="AV27" s="217"/>
    </row>
    <row r="28" spans="1:48" s="196" customFormat="1" ht="112.5" customHeight="1" x14ac:dyDescent="0.25">
      <c r="A28" s="226">
        <v>3</v>
      </c>
      <c r="B28" s="227" t="s">
        <v>294</v>
      </c>
      <c r="C28" s="228" t="s">
        <v>492</v>
      </c>
      <c r="D28" s="228" t="s">
        <v>523</v>
      </c>
      <c r="E28" s="227"/>
      <c r="F28" s="227" t="s">
        <v>499</v>
      </c>
      <c r="G28" s="227" t="s">
        <v>499</v>
      </c>
      <c r="H28" s="227" t="s">
        <v>499</v>
      </c>
      <c r="I28" s="227" t="s">
        <v>499</v>
      </c>
      <c r="J28" s="227" t="s">
        <v>450</v>
      </c>
      <c r="K28" s="227" t="s">
        <v>499</v>
      </c>
      <c r="L28" s="227" t="s">
        <v>499</v>
      </c>
      <c r="M28" s="227" t="s">
        <v>445</v>
      </c>
      <c r="N28" s="227" t="s">
        <v>451</v>
      </c>
      <c r="O28" s="226" t="s">
        <v>281</v>
      </c>
      <c r="P28" s="227" t="s">
        <v>452</v>
      </c>
      <c r="Q28" s="226" t="s">
        <v>446</v>
      </c>
      <c r="R28" s="227" t="s">
        <v>452</v>
      </c>
      <c r="S28" s="226" t="s">
        <v>447</v>
      </c>
      <c r="T28" s="226" t="s">
        <v>447</v>
      </c>
      <c r="U28" s="227" t="s">
        <v>17</v>
      </c>
      <c r="V28" s="227" t="s">
        <v>17</v>
      </c>
      <c r="W28" s="227" t="s">
        <v>453</v>
      </c>
      <c r="X28" s="227" t="s">
        <v>455</v>
      </c>
      <c r="Y28" s="227" t="s">
        <v>301</v>
      </c>
      <c r="Z28" s="227" t="s">
        <v>301</v>
      </c>
      <c r="AA28" s="227" t="s">
        <v>455</v>
      </c>
      <c r="AB28" s="227" t="s">
        <v>454</v>
      </c>
      <c r="AC28" s="227" t="s">
        <v>448</v>
      </c>
      <c r="AD28" s="227" t="s">
        <v>456</v>
      </c>
      <c r="AE28" s="227" t="s">
        <v>457</v>
      </c>
      <c r="AF28" s="227" t="s">
        <v>458</v>
      </c>
      <c r="AG28" s="227" t="s">
        <v>449</v>
      </c>
      <c r="AH28" s="195" t="s">
        <v>484</v>
      </c>
      <c r="AI28" s="195" t="s">
        <v>484</v>
      </c>
      <c r="AJ28" s="229"/>
      <c r="AK28" s="229"/>
      <c r="AL28" s="372" t="s">
        <v>520</v>
      </c>
      <c r="AM28" s="372"/>
      <c r="AN28" s="372"/>
      <c r="AO28" s="372"/>
      <c r="AP28" s="195" t="s">
        <v>485</v>
      </c>
      <c r="AQ28" s="195" t="s">
        <v>486</v>
      </c>
      <c r="AR28" s="195" t="s">
        <v>486</v>
      </c>
      <c r="AS28" s="195" t="s">
        <v>486</v>
      </c>
      <c r="AT28" s="195" t="s">
        <v>301</v>
      </c>
      <c r="AU28" s="195" t="s">
        <v>301</v>
      </c>
      <c r="AV28" s="195" t="s">
        <v>301</v>
      </c>
    </row>
    <row r="29" spans="1:48" ht="35.25" customHeight="1" x14ac:dyDescent="0.25">
      <c r="A29" s="195">
        <v>3</v>
      </c>
      <c r="B29" s="195" t="s">
        <v>294</v>
      </c>
      <c r="C29" s="195" t="s">
        <v>444</v>
      </c>
      <c r="D29" s="195" t="s">
        <v>301</v>
      </c>
      <c r="E29" s="195" t="s">
        <v>301</v>
      </c>
      <c r="F29" s="195" t="s">
        <v>301</v>
      </c>
      <c r="G29" s="195" t="s">
        <v>301</v>
      </c>
      <c r="H29" s="195" t="s">
        <v>301</v>
      </c>
      <c r="I29" s="195" t="s">
        <v>301</v>
      </c>
      <c r="J29" s="195" t="s">
        <v>301</v>
      </c>
      <c r="K29" s="195" t="s">
        <v>301</v>
      </c>
      <c r="L29" s="195" t="s">
        <v>301</v>
      </c>
      <c r="M29" s="195"/>
      <c r="N29" s="195" t="s">
        <v>489</v>
      </c>
      <c r="O29" s="195" t="s">
        <v>281</v>
      </c>
      <c r="P29" s="356" t="s">
        <v>490</v>
      </c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8"/>
      <c r="AD29" s="201">
        <v>114407.97500000001</v>
      </c>
      <c r="AE29" s="202">
        <v>114407.97500000001</v>
      </c>
      <c r="AF29" s="203"/>
      <c r="AG29" s="203"/>
      <c r="AH29" s="203"/>
      <c r="AI29" s="204">
        <v>43543</v>
      </c>
      <c r="AJ29" s="204">
        <v>43543</v>
      </c>
      <c r="AK29" s="204">
        <v>43543</v>
      </c>
      <c r="AL29" s="204">
        <v>43543</v>
      </c>
      <c r="AM29" s="204">
        <v>43616</v>
      </c>
      <c r="AN29" s="203"/>
      <c r="AO29" s="203"/>
    </row>
  </sheetData>
  <mergeCells count="71">
    <mergeCell ref="AL26:AO26"/>
    <mergeCell ref="AP22:AQ22"/>
    <mergeCell ref="AR22:AR24"/>
    <mergeCell ref="AS22:AS24"/>
    <mergeCell ref="AL28:AO28"/>
    <mergeCell ref="AM23:AM24"/>
    <mergeCell ref="AN23:AN24"/>
    <mergeCell ref="AO23:AO24"/>
    <mergeCell ref="AP23:AP24"/>
    <mergeCell ref="AT22:AT24"/>
    <mergeCell ref="AU22:AU24"/>
    <mergeCell ref="AV22:AV24"/>
    <mergeCell ref="AF23:AG23"/>
    <mergeCell ref="AE22:AE24"/>
    <mergeCell ref="AL22:AO22"/>
    <mergeCell ref="AL23:AL24"/>
    <mergeCell ref="AQ23:AQ24"/>
    <mergeCell ref="AF22:AK22"/>
    <mergeCell ref="AH23:AI23"/>
    <mergeCell ref="AK23:AK24"/>
    <mergeCell ref="AJ23:AJ24"/>
    <mergeCell ref="P29:AC29"/>
    <mergeCell ref="AC22:AC24"/>
    <mergeCell ref="P22:P24"/>
    <mergeCell ref="O27:AC27"/>
    <mergeCell ref="O22:O24"/>
    <mergeCell ref="S23:S24"/>
    <mergeCell ref="Z22:Z24"/>
    <mergeCell ref="AA22:AA24"/>
    <mergeCell ref="AB22:AB24"/>
    <mergeCell ref="Y22:Y24"/>
    <mergeCell ref="Q22:Q24"/>
    <mergeCell ref="T23:T24"/>
    <mergeCell ref="E22:L22"/>
    <mergeCell ref="M22:M24"/>
    <mergeCell ref="K23:K24"/>
    <mergeCell ref="L23:L24"/>
    <mergeCell ref="AD22:AD24"/>
    <mergeCell ref="N22:N24"/>
    <mergeCell ref="A16:AO16"/>
    <mergeCell ref="A17:AO17"/>
    <mergeCell ref="R22:R24"/>
    <mergeCell ref="S22:T22"/>
    <mergeCell ref="A18:AO18"/>
    <mergeCell ref="A19:AO19"/>
    <mergeCell ref="A20:AO20"/>
    <mergeCell ref="A21:AO21"/>
    <mergeCell ref="A22:A24"/>
    <mergeCell ref="B22:B24"/>
    <mergeCell ref="U22:U24"/>
    <mergeCell ref="V22:V24"/>
    <mergeCell ref="W22:W24"/>
    <mergeCell ref="X22:X24"/>
    <mergeCell ref="I23:I24"/>
    <mergeCell ref="J23:J24"/>
    <mergeCell ref="G23:G24"/>
    <mergeCell ref="H23:H24"/>
    <mergeCell ref="E23:E24"/>
    <mergeCell ref="F23:F24"/>
    <mergeCell ref="A5:AO5"/>
    <mergeCell ref="A7:AO7"/>
    <mergeCell ref="A8:AO8"/>
    <mergeCell ref="A9:AO9"/>
    <mergeCell ref="C22:C24"/>
    <mergeCell ref="D22:D24"/>
    <mergeCell ref="A10:AO10"/>
    <mergeCell ref="A11:AO11"/>
    <mergeCell ref="A12:AO12"/>
    <mergeCell ref="A13:AO13"/>
    <mergeCell ref="A14:AO14"/>
    <mergeCell ref="A15:AO15"/>
  </mergeCells>
  <phoneticPr fontId="46" type="noConversion"/>
  <hyperlinks>
    <hyperlink ref="AG26" r:id="rId1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7"/>
  <sheetViews>
    <sheetView view="pageBreakPreview" topLeftCell="A10" zoomScale="90" zoomScaleNormal="90" zoomScaleSheetLayoutView="90" workbookViewId="0">
      <selection activeCell="B27" sqref="B27"/>
    </sheetView>
  </sheetViews>
  <sheetFormatPr defaultRowHeight="15.75" x14ac:dyDescent="0.25"/>
  <cols>
    <col min="1" max="1" width="72.28515625" style="76" customWidth="1"/>
    <col min="2" max="2" width="69.140625" style="76" customWidth="1"/>
    <col min="3" max="216" width="9.140625" style="77"/>
    <col min="217" max="218" width="66.140625" style="77" customWidth="1"/>
    <col min="219" max="16384" width="9.140625" style="77"/>
  </cols>
  <sheetData>
    <row r="1" spans="1:2" ht="18.75" x14ac:dyDescent="0.25">
      <c r="B1" s="33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153</v>
      </c>
    </row>
    <row r="4" spans="1:2" x14ac:dyDescent="0.25">
      <c r="B4" s="36"/>
    </row>
    <row r="5" spans="1:2" ht="18.75" x14ac:dyDescent="0.3">
      <c r="A5" s="378" t="str">
        <f>'1. паспорт местоположение'!$A$5</f>
        <v>Год раскрытия информации: 2019 год</v>
      </c>
      <c r="B5" s="378"/>
    </row>
    <row r="6" spans="1:2" ht="18.75" x14ac:dyDescent="0.3">
      <c r="A6" s="88"/>
      <c r="B6" s="88"/>
    </row>
    <row r="7" spans="1:2" ht="18.75" x14ac:dyDescent="0.25">
      <c r="A7" s="252" t="s">
        <v>5</v>
      </c>
      <c r="B7" s="252"/>
    </row>
    <row r="8" spans="1:2" ht="18.75" x14ac:dyDescent="0.25">
      <c r="A8" s="11"/>
      <c r="B8" s="11"/>
    </row>
    <row r="9" spans="1:2" x14ac:dyDescent="0.25">
      <c r="A9" s="253" t="s">
        <v>281</v>
      </c>
      <c r="B9" s="253"/>
    </row>
    <row r="10" spans="1:2" x14ac:dyDescent="0.25">
      <c r="A10" s="249" t="s">
        <v>4</v>
      </c>
      <c r="B10" s="249"/>
    </row>
    <row r="11" spans="1:2" ht="18.75" x14ac:dyDescent="0.25">
      <c r="A11" s="11"/>
      <c r="B11" s="11"/>
    </row>
    <row r="12" spans="1:2" ht="23.25" customHeight="1" x14ac:dyDescent="0.25">
      <c r="A12" s="253" t="str">
        <f>'1. паспорт местоположение'!$A$12</f>
        <v>I_Che152</v>
      </c>
      <c r="B12" s="253"/>
    </row>
    <row r="13" spans="1:2" x14ac:dyDescent="0.25">
      <c r="A13" s="249" t="s">
        <v>3</v>
      </c>
      <c r="B13" s="249"/>
    </row>
    <row r="14" spans="1:2" ht="18.75" x14ac:dyDescent="0.25">
      <c r="A14" s="9"/>
      <c r="B14" s="9"/>
    </row>
    <row r="15" spans="1:2" ht="78" customHeight="1" x14ac:dyDescent="0.25">
      <c r="A15" s="278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5" s="278"/>
    </row>
    <row r="16" spans="1:2" x14ac:dyDescent="0.25">
      <c r="A16" s="249" t="s">
        <v>2</v>
      </c>
      <c r="B16" s="249"/>
    </row>
    <row r="17" spans="1:2" x14ac:dyDescent="0.25">
      <c r="B17" s="78"/>
    </row>
    <row r="18" spans="1:2" ht="20.25" customHeight="1" x14ac:dyDescent="0.25">
      <c r="A18" s="376" t="s">
        <v>267</v>
      </c>
      <c r="B18" s="377"/>
    </row>
    <row r="19" spans="1:2" ht="10.5" customHeight="1" x14ac:dyDescent="0.25">
      <c r="B19" s="36"/>
    </row>
    <row r="20" spans="1:2" ht="10.5" customHeight="1" thickBot="1" x14ac:dyDescent="0.3">
      <c r="B20" s="79"/>
    </row>
    <row r="21" spans="1:2" s="181" customFormat="1" ht="81.75" customHeight="1" thickBot="1" x14ac:dyDescent="0.3">
      <c r="A21" s="192" t="s">
        <v>157</v>
      </c>
      <c r="B21" s="171" t="s">
        <v>443</v>
      </c>
    </row>
    <row r="22" spans="1:2" s="181" customFormat="1" ht="24.75" customHeight="1" thickBot="1" x14ac:dyDescent="0.3">
      <c r="A22" s="173" t="s">
        <v>158</v>
      </c>
      <c r="B22" s="171" t="s">
        <v>464</v>
      </c>
    </row>
    <row r="23" spans="1:2" s="181" customFormat="1" ht="60.75" thickBot="1" x14ac:dyDescent="0.3">
      <c r="A23" s="173" t="s">
        <v>154</v>
      </c>
      <c r="B23" s="182" t="s">
        <v>462</v>
      </c>
    </row>
    <row r="24" spans="1:2" s="181" customFormat="1" ht="16.5" thickBot="1" x14ac:dyDescent="0.3">
      <c r="A24" s="173" t="s">
        <v>159</v>
      </c>
      <c r="B24" s="182" t="s">
        <v>487</v>
      </c>
    </row>
    <row r="25" spans="1:2" s="181" customFormat="1" ht="16.5" thickBot="1" x14ac:dyDescent="0.3">
      <c r="A25" s="183" t="s">
        <v>160</v>
      </c>
      <c r="B25" s="243">
        <f>VLOOKUP(A12,'[1]6.2. отчет'!$D:$OM,400,0)</f>
        <v>2019</v>
      </c>
    </row>
    <row r="26" spans="1:2" s="181" customFormat="1" ht="16.5" thickBot="1" x14ac:dyDescent="0.3">
      <c r="A26" s="184" t="s">
        <v>161</v>
      </c>
      <c r="B26" s="185" t="str">
        <f>'3.3 паспорт описание'!C30</f>
        <v>з</v>
      </c>
    </row>
    <row r="27" spans="1:2" s="181" customFormat="1" ht="16.5" thickBot="1" x14ac:dyDescent="0.3">
      <c r="A27" s="186" t="s">
        <v>438</v>
      </c>
      <c r="B27" s="244">
        <f>VLOOKUP($A$12,'[1]6.2. отчет'!$D:$OT,407,0)</f>
        <v>32.101498262255298</v>
      </c>
    </row>
    <row r="28" spans="1:2" s="181" customFormat="1" ht="16.5" thickBot="1" x14ac:dyDescent="0.3">
      <c r="A28" s="171" t="s">
        <v>162</v>
      </c>
      <c r="B28" s="171" t="s">
        <v>439</v>
      </c>
    </row>
    <row r="29" spans="1:2" s="181" customFormat="1" ht="16.5" thickBot="1" x14ac:dyDescent="0.3">
      <c r="A29" s="173" t="s">
        <v>163</v>
      </c>
      <c r="B29" s="172">
        <f>B33+B43</f>
        <v>149.75351599999999</v>
      </c>
    </row>
    <row r="30" spans="1:2" s="181" customFormat="1" ht="15.75" customHeight="1" thickBot="1" x14ac:dyDescent="0.3">
      <c r="A30" s="173" t="s">
        <v>164</v>
      </c>
      <c r="B30" s="172">
        <f>B33+B43</f>
        <v>149.75351599999999</v>
      </c>
    </row>
    <row r="31" spans="1:2" s="181" customFormat="1" ht="16.5" thickBot="1" x14ac:dyDescent="0.3">
      <c r="A31" s="171" t="s">
        <v>165</v>
      </c>
      <c r="B31" s="171" t="s">
        <v>301</v>
      </c>
    </row>
    <row r="32" spans="1:2" s="181" customFormat="1" ht="21" customHeight="1" thickBot="1" x14ac:dyDescent="0.3">
      <c r="A32" s="173"/>
      <c r="B32" s="205" t="s">
        <v>491</v>
      </c>
    </row>
    <row r="33" spans="1:2" s="181" customFormat="1" ht="19.5" customHeight="1" thickBot="1" x14ac:dyDescent="0.3">
      <c r="A33" s="171" t="s">
        <v>493</v>
      </c>
      <c r="B33" s="172">
        <v>114.40797500000001</v>
      </c>
    </row>
    <row r="34" spans="1:2" s="181" customFormat="1" ht="16.5" customHeight="1" thickBot="1" x14ac:dyDescent="0.3">
      <c r="A34" s="171" t="s">
        <v>166</v>
      </c>
      <c r="B34" s="187">
        <v>0.84385311999813217</v>
      </c>
    </row>
    <row r="35" spans="1:2" s="181" customFormat="1" ht="18" customHeight="1" thickBot="1" x14ac:dyDescent="0.3">
      <c r="A35" s="171" t="s">
        <v>167</v>
      </c>
      <c r="B35" s="172">
        <v>22.36040865</v>
      </c>
    </row>
    <row r="36" spans="1:2" s="181" customFormat="1" ht="18" customHeight="1" thickBot="1" x14ac:dyDescent="0.3">
      <c r="A36" s="171" t="s">
        <v>437</v>
      </c>
      <c r="B36" s="172">
        <v>114.20449907000001</v>
      </c>
    </row>
    <row r="37" spans="1:2" s="181" customFormat="1" ht="29.25" thickBot="1" x14ac:dyDescent="0.3">
      <c r="A37" s="173" t="s">
        <v>169</v>
      </c>
      <c r="B37" s="171" t="s">
        <v>301</v>
      </c>
    </row>
    <row r="38" spans="1:2" s="181" customFormat="1" ht="16.5" thickBot="1" x14ac:dyDescent="0.3">
      <c r="A38" s="171" t="s">
        <v>436</v>
      </c>
      <c r="B38" s="171" t="s">
        <v>301</v>
      </c>
    </row>
    <row r="39" spans="1:2" s="181" customFormat="1" ht="16.5" thickBot="1" x14ac:dyDescent="0.3">
      <c r="A39" s="171" t="s">
        <v>166</v>
      </c>
      <c r="B39" s="187" t="s">
        <v>301</v>
      </c>
    </row>
    <row r="40" spans="1:2" s="181" customFormat="1" ht="16.5" thickBot="1" x14ac:dyDescent="0.3">
      <c r="A40" s="171" t="s">
        <v>167</v>
      </c>
      <c r="B40" s="171" t="s">
        <v>301</v>
      </c>
    </row>
    <row r="41" spans="1:2" s="181" customFormat="1" ht="16.5" thickBot="1" x14ac:dyDescent="0.3">
      <c r="A41" s="171" t="s">
        <v>168</v>
      </c>
      <c r="B41" s="171" t="s">
        <v>301</v>
      </c>
    </row>
    <row r="42" spans="1:2" s="181" customFormat="1" ht="32.25" customHeight="1" thickBot="1" x14ac:dyDescent="0.3">
      <c r="A42" s="173" t="s">
        <v>170</v>
      </c>
      <c r="B42" s="173" t="s">
        <v>524</v>
      </c>
    </row>
    <row r="43" spans="1:2" s="181" customFormat="1" ht="16.5" thickBot="1" x14ac:dyDescent="0.3">
      <c r="A43" s="171" t="s">
        <v>494</v>
      </c>
      <c r="B43" s="172">
        <v>35.345540999999997</v>
      </c>
    </row>
    <row r="44" spans="1:2" s="181" customFormat="1" ht="16.5" thickBot="1" x14ac:dyDescent="0.3">
      <c r="A44" s="171" t="s">
        <v>166</v>
      </c>
      <c r="B44" s="187">
        <v>0.16528415506283559</v>
      </c>
    </row>
    <row r="45" spans="1:2" s="181" customFormat="1" ht="16.5" thickBot="1" x14ac:dyDescent="0.3">
      <c r="A45" s="171" t="s">
        <v>167</v>
      </c>
      <c r="B45" s="172">
        <v>4.30458023</v>
      </c>
    </row>
    <row r="46" spans="1:2" s="181" customFormat="1" ht="16.5" thickBot="1" x14ac:dyDescent="0.3">
      <c r="A46" s="171" t="s">
        <v>168</v>
      </c>
      <c r="B46" s="172">
        <v>5.3807252942000003</v>
      </c>
    </row>
    <row r="47" spans="1:2" s="181" customFormat="1" x14ac:dyDescent="0.25">
      <c r="A47" s="206" t="s">
        <v>495</v>
      </c>
      <c r="B47" s="207">
        <v>0.83635194999999996</v>
      </c>
    </row>
    <row r="48" spans="1:2" s="181" customFormat="1" x14ac:dyDescent="0.25">
      <c r="A48" s="208" t="s">
        <v>496</v>
      </c>
      <c r="B48" s="209">
        <v>0.83635194999999996</v>
      </c>
    </row>
    <row r="49" spans="1:2" s="181" customFormat="1" x14ac:dyDescent="0.25">
      <c r="A49" s="208" t="s">
        <v>497</v>
      </c>
      <c r="B49" s="209">
        <v>0</v>
      </c>
    </row>
    <row r="50" spans="1:2" s="181" customFormat="1" ht="16.5" thickBot="1" x14ac:dyDescent="0.3">
      <c r="A50" s="208" t="s">
        <v>85</v>
      </c>
      <c r="B50" s="209">
        <v>0</v>
      </c>
    </row>
    <row r="51" spans="1:2" s="181" customFormat="1" ht="29.25" thickBot="1" x14ac:dyDescent="0.3">
      <c r="A51" s="98" t="s">
        <v>171</v>
      </c>
      <c r="B51" s="171" t="s">
        <v>301</v>
      </c>
    </row>
    <row r="52" spans="1:2" s="181" customFormat="1" ht="16.5" thickBot="1" x14ac:dyDescent="0.3">
      <c r="A52" s="188" t="s">
        <v>165</v>
      </c>
      <c r="B52" s="171" t="s">
        <v>301</v>
      </c>
    </row>
    <row r="53" spans="1:2" s="181" customFormat="1" ht="16.5" thickBot="1" x14ac:dyDescent="0.3">
      <c r="A53" s="188" t="s">
        <v>172</v>
      </c>
      <c r="B53" s="171" t="s">
        <v>301</v>
      </c>
    </row>
    <row r="54" spans="1:2" s="181" customFormat="1" ht="16.5" thickBot="1" x14ac:dyDescent="0.3">
      <c r="A54" s="188" t="s">
        <v>173</v>
      </c>
      <c r="B54" s="171" t="s">
        <v>301</v>
      </c>
    </row>
    <row r="55" spans="1:2" s="181" customFormat="1" ht="16.5" thickBot="1" x14ac:dyDescent="0.3">
      <c r="A55" s="188" t="s">
        <v>174</v>
      </c>
      <c r="B55" s="171" t="s">
        <v>301</v>
      </c>
    </row>
    <row r="56" spans="1:2" s="181" customFormat="1" ht="16.5" thickBot="1" x14ac:dyDescent="0.3">
      <c r="A56" s="183" t="s">
        <v>175</v>
      </c>
      <c r="B56" s="230">
        <f>B57/$B$27</f>
        <v>0.92821620313701203</v>
      </c>
    </row>
    <row r="57" spans="1:2" s="181" customFormat="1" ht="16.5" thickBot="1" x14ac:dyDescent="0.3">
      <c r="A57" s="183" t="s">
        <v>176</v>
      </c>
      <c r="B57" s="231">
        <f>'6.2. Паспорт фин осв ввод'!D24</f>
        <v>29.797130832000001</v>
      </c>
    </row>
    <row r="58" spans="1:2" s="181" customFormat="1" ht="16.5" thickBot="1" x14ac:dyDescent="0.3">
      <c r="A58" s="183" t="s">
        <v>177</v>
      </c>
      <c r="B58" s="230">
        <v>0.16761601749057978</v>
      </c>
    </row>
    <row r="59" spans="1:2" s="181" customFormat="1" ht="16.5" thickBot="1" x14ac:dyDescent="0.3">
      <c r="A59" s="184" t="s">
        <v>178</v>
      </c>
      <c r="B59" s="231">
        <f>'6.2. Паспорт фин осв ввод'!D30</f>
        <v>102.79228253999999</v>
      </c>
    </row>
    <row r="60" spans="1:2" s="181" customFormat="1" ht="18.75" customHeight="1" x14ac:dyDescent="0.25">
      <c r="A60" s="98" t="s">
        <v>179</v>
      </c>
      <c r="B60" s="232"/>
    </row>
    <row r="61" spans="1:2" s="181" customFormat="1" x14ac:dyDescent="0.25">
      <c r="A61" s="99" t="s">
        <v>180</v>
      </c>
      <c r="B61" s="232" t="s">
        <v>294</v>
      </c>
    </row>
    <row r="62" spans="1:2" s="181" customFormat="1" x14ac:dyDescent="0.25">
      <c r="A62" s="99" t="s">
        <v>181</v>
      </c>
      <c r="B62" s="233" t="s">
        <v>482</v>
      </c>
    </row>
    <row r="63" spans="1:2" s="181" customFormat="1" x14ac:dyDescent="0.25">
      <c r="A63" s="99" t="s">
        <v>182</v>
      </c>
      <c r="B63" s="233" t="s">
        <v>301</v>
      </c>
    </row>
    <row r="64" spans="1:2" s="181" customFormat="1" x14ac:dyDescent="0.25">
      <c r="A64" s="99" t="s">
        <v>183</v>
      </c>
      <c r="B64" s="233" t="s">
        <v>482</v>
      </c>
    </row>
    <row r="65" spans="1:2" s="181" customFormat="1" ht="16.5" thickBot="1" x14ac:dyDescent="0.3">
      <c r="A65" s="100" t="s">
        <v>184</v>
      </c>
      <c r="B65" s="99" t="s">
        <v>301</v>
      </c>
    </row>
    <row r="66" spans="1:2" s="181" customFormat="1" ht="30.75" thickBot="1" x14ac:dyDescent="0.3">
      <c r="A66" s="188" t="s">
        <v>185</v>
      </c>
      <c r="B66" s="99" t="s">
        <v>301</v>
      </c>
    </row>
    <row r="67" spans="1:2" s="181" customFormat="1" ht="29.25" thickBot="1" x14ac:dyDescent="0.3">
      <c r="A67" s="183" t="s">
        <v>186</v>
      </c>
      <c r="B67" s="189"/>
    </row>
    <row r="68" spans="1:2" s="181" customFormat="1" ht="16.5" thickBot="1" x14ac:dyDescent="0.3">
      <c r="A68" s="188" t="s">
        <v>165</v>
      </c>
      <c r="B68" s="119" t="s">
        <v>301</v>
      </c>
    </row>
    <row r="69" spans="1:2" s="181" customFormat="1" ht="16.5" thickBot="1" x14ac:dyDescent="0.3">
      <c r="A69" s="188" t="s">
        <v>187</v>
      </c>
      <c r="B69" s="119" t="s">
        <v>301</v>
      </c>
    </row>
    <row r="70" spans="1:2" s="181" customFormat="1" ht="16.5" thickBot="1" x14ac:dyDescent="0.3">
      <c r="A70" s="188" t="s">
        <v>188</v>
      </c>
      <c r="B70" s="119" t="s">
        <v>301</v>
      </c>
    </row>
    <row r="71" spans="1:2" s="181" customFormat="1" ht="22.5" customHeight="1" thickBot="1" x14ac:dyDescent="0.3">
      <c r="A71" s="80" t="s">
        <v>189</v>
      </c>
      <c r="B71" s="119" t="s">
        <v>301</v>
      </c>
    </row>
    <row r="72" spans="1:2" s="181" customFormat="1" ht="16.5" thickBot="1" x14ac:dyDescent="0.3">
      <c r="A72" s="183" t="s">
        <v>190</v>
      </c>
      <c r="B72" s="190" t="s">
        <v>301</v>
      </c>
    </row>
    <row r="73" spans="1:2" s="181" customFormat="1" ht="16.5" thickBot="1" x14ac:dyDescent="0.3">
      <c r="A73" s="99" t="s">
        <v>191</v>
      </c>
      <c r="B73" s="191"/>
    </row>
    <row r="74" spans="1:2" s="181" customFormat="1" ht="16.5" thickBot="1" x14ac:dyDescent="0.3">
      <c r="A74" s="99" t="s">
        <v>192</v>
      </c>
      <c r="B74" s="191"/>
    </row>
    <row r="75" spans="1:2" s="181" customFormat="1" ht="16.5" thickBot="1" x14ac:dyDescent="0.3">
      <c r="A75" s="99" t="s">
        <v>193</v>
      </c>
      <c r="B75" s="171"/>
    </row>
    <row r="76" spans="1:2" s="181" customFormat="1" ht="29.25" thickBot="1" x14ac:dyDescent="0.3">
      <c r="A76" s="81" t="s">
        <v>194</v>
      </c>
      <c r="B76" s="148" t="s">
        <v>459</v>
      </c>
    </row>
    <row r="77" spans="1:2" s="181" customFormat="1" ht="28.5" x14ac:dyDescent="0.25">
      <c r="A77" s="98" t="s">
        <v>195</v>
      </c>
      <c r="B77" s="373" t="s">
        <v>301</v>
      </c>
    </row>
    <row r="78" spans="1:2" s="181" customFormat="1" x14ac:dyDescent="0.25">
      <c r="A78" s="99" t="s">
        <v>196</v>
      </c>
      <c r="B78" s="374"/>
    </row>
    <row r="79" spans="1:2" s="181" customFormat="1" x14ac:dyDescent="0.25">
      <c r="A79" s="99" t="s">
        <v>197</v>
      </c>
      <c r="B79" s="374"/>
    </row>
    <row r="80" spans="1:2" s="181" customFormat="1" x14ac:dyDescent="0.25">
      <c r="A80" s="99" t="s">
        <v>198</v>
      </c>
      <c r="B80" s="374"/>
    </row>
    <row r="81" spans="1:2" s="181" customFormat="1" x14ac:dyDescent="0.25">
      <c r="A81" s="99" t="s">
        <v>199</v>
      </c>
      <c r="B81" s="374"/>
    </row>
    <row r="82" spans="1:2" s="181" customFormat="1" ht="16.5" thickBot="1" x14ac:dyDescent="0.3">
      <c r="A82" s="100" t="s">
        <v>200</v>
      </c>
      <c r="B82" s="375"/>
    </row>
    <row r="85" spans="1:2" x14ac:dyDescent="0.25">
      <c r="A85" s="82"/>
      <c r="B85" s="83"/>
    </row>
    <row r="86" spans="1:2" x14ac:dyDescent="0.25">
      <c r="B86" s="84"/>
    </row>
    <row r="87" spans="1:2" x14ac:dyDescent="0.25">
      <c r="B87" s="85"/>
    </row>
  </sheetData>
  <mergeCells count="10">
    <mergeCell ref="A5:B5"/>
    <mergeCell ref="A7:B7"/>
    <mergeCell ref="A10:B10"/>
    <mergeCell ref="A12:B12"/>
    <mergeCell ref="A9:B9"/>
    <mergeCell ref="B77:B82"/>
    <mergeCell ref="A13:B13"/>
    <mergeCell ref="A16:B16"/>
    <mergeCell ref="A18:B18"/>
    <mergeCell ref="A15:B15"/>
  </mergeCells>
  <phoneticPr fontId="46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E32" sqref="E32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3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48" t="str">
        <f>'1. паспорт местоположение'!$A$5</f>
        <v>Год раскрытия информации: 2019 год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</row>
    <row r="5" spans="1:25" s="10" customFormat="1" ht="15.75" x14ac:dyDescent="0.2">
      <c r="A5" s="15"/>
      <c r="H5" s="14"/>
    </row>
    <row r="6" spans="1:25" s="10" customFormat="1" ht="18.75" x14ac:dyDescent="0.2">
      <c r="A6" s="252" t="s">
        <v>5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</row>
    <row r="7" spans="1:25" s="10" customFormat="1" ht="18.75" x14ac:dyDescent="0.2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</row>
    <row r="8" spans="1:25" s="10" customFormat="1" ht="18.75" customHeight="1" x14ac:dyDescent="0.2">
      <c r="A8" s="253" t="s">
        <v>294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</row>
    <row r="9" spans="1:25" s="10" customFormat="1" ht="18.75" customHeight="1" x14ac:dyDescent="0.2">
      <c r="A9" s="249" t="s">
        <v>4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</row>
    <row r="10" spans="1:25" s="10" customFormat="1" ht="18.75" x14ac:dyDescent="0.2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</row>
    <row r="11" spans="1:25" s="10" customFormat="1" ht="18.75" customHeight="1" x14ac:dyDescent="0.2">
      <c r="A11" s="253" t="str">
        <f>'1. паспорт местоположение'!A12:C12</f>
        <v>I_Che152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</row>
    <row r="12" spans="1:25" s="10" customFormat="1" ht="18.75" customHeight="1" x14ac:dyDescent="0.2">
      <c r="A12" s="249" t="s">
        <v>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</row>
    <row r="13" spans="1:25" s="7" customFormat="1" ht="15.75" customHeight="1" x14ac:dyDescent="0.2">
      <c r="A13" s="258"/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</row>
    <row r="14" spans="1:25" s="2" customFormat="1" ht="15.75" x14ac:dyDescent="0.2">
      <c r="A14" s="253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</row>
    <row r="15" spans="1:25" s="2" customFormat="1" ht="15" customHeight="1" x14ac:dyDescent="0.2">
      <c r="A15" s="249" t="s">
        <v>2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</row>
    <row r="16" spans="1:25" s="124" customFormat="1" ht="15" customHeight="1" x14ac:dyDescent="0.2">
      <c r="A16" s="257"/>
      <c r="B16" s="257"/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110"/>
      <c r="U16" s="110"/>
      <c r="V16" s="110"/>
      <c r="W16" s="110"/>
      <c r="X16" s="110"/>
      <c r="Y16" s="110"/>
    </row>
    <row r="17" spans="1:28" s="2" customFormat="1" ht="45.75" customHeight="1" x14ac:dyDescent="0.2">
      <c r="A17" s="250" t="s">
        <v>305</v>
      </c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56" t="s">
        <v>1</v>
      </c>
      <c r="B19" s="256" t="s">
        <v>306</v>
      </c>
      <c r="C19" s="259" t="s">
        <v>307</v>
      </c>
      <c r="D19" s="256" t="s">
        <v>308</v>
      </c>
      <c r="E19" s="256" t="s">
        <v>309</v>
      </c>
      <c r="F19" s="256" t="s">
        <v>310</v>
      </c>
      <c r="G19" s="256" t="s">
        <v>311</v>
      </c>
      <c r="H19" s="256" t="s">
        <v>312</v>
      </c>
      <c r="I19" s="256" t="s">
        <v>313</v>
      </c>
      <c r="J19" s="256" t="s">
        <v>314</v>
      </c>
      <c r="K19" s="256" t="s">
        <v>29</v>
      </c>
      <c r="L19" s="256" t="s">
        <v>315</v>
      </c>
      <c r="M19" s="256" t="s">
        <v>316</v>
      </c>
      <c r="N19" s="256" t="s">
        <v>317</v>
      </c>
      <c r="O19" s="256" t="s">
        <v>318</v>
      </c>
      <c r="P19" s="256" t="s">
        <v>319</v>
      </c>
      <c r="Q19" s="256" t="s">
        <v>320</v>
      </c>
      <c r="R19" s="256"/>
      <c r="S19" s="262" t="s">
        <v>321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56"/>
      <c r="B20" s="256"/>
      <c r="C20" s="260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125" t="s">
        <v>322</v>
      </c>
      <c r="R20" s="126" t="s">
        <v>323</v>
      </c>
      <c r="S20" s="262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25">
        <v>1</v>
      </c>
      <c r="B21" s="127">
        <v>2</v>
      </c>
      <c r="C21" s="125">
        <v>3</v>
      </c>
      <c r="D21" s="127">
        <v>4</v>
      </c>
      <c r="E21" s="125">
        <v>5</v>
      </c>
      <c r="F21" s="127">
        <v>6</v>
      </c>
      <c r="G21" s="125">
        <v>7</v>
      </c>
      <c r="H21" s="127">
        <v>8</v>
      </c>
      <c r="I21" s="125">
        <v>9</v>
      </c>
      <c r="J21" s="127">
        <v>10</v>
      </c>
      <c r="K21" s="125">
        <v>11</v>
      </c>
      <c r="L21" s="127">
        <v>12</v>
      </c>
      <c r="M21" s="125">
        <v>13</v>
      </c>
      <c r="N21" s="127">
        <v>14</v>
      </c>
      <c r="O21" s="125">
        <v>15</v>
      </c>
      <c r="P21" s="127">
        <v>16</v>
      </c>
      <c r="Q21" s="125">
        <v>17</v>
      </c>
      <c r="R21" s="127">
        <v>18</v>
      </c>
      <c r="S21" s="125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49.5" customHeight="1" x14ac:dyDescent="0.2">
      <c r="A22" s="125">
        <v>1</v>
      </c>
      <c r="B22" s="127" t="s">
        <v>460</v>
      </c>
      <c r="C22" s="127" t="s">
        <v>301</v>
      </c>
      <c r="D22" s="127" t="s">
        <v>461</v>
      </c>
      <c r="E22" s="127" t="s">
        <v>464</v>
      </c>
      <c r="F22" s="127" t="s">
        <v>471</v>
      </c>
      <c r="G22" s="127" t="s">
        <v>472</v>
      </c>
      <c r="H22" s="127">
        <v>346.8</v>
      </c>
      <c r="I22" s="127" t="s">
        <v>301</v>
      </c>
      <c r="J22" s="127">
        <v>346.8</v>
      </c>
      <c r="K22" s="127">
        <v>110</v>
      </c>
      <c r="L22" s="127">
        <v>1</v>
      </c>
      <c r="M22" s="127" t="s">
        <v>301</v>
      </c>
      <c r="N22" s="127" t="s">
        <v>301</v>
      </c>
      <c r="O22" s="127">
        <v>173.4</v>
      </c>
      <c r="P22" s="127">
        <v>2</v>
      </c>
      <c r="Q22" s="127" t="s">
        <v>473</v>
      </c>
      <c r="R22" s="127" t="s">
        <v>301</v>
      </c>
      <c r="S22" s="127">
        <v>1082.1679999999999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B19:B20"/>
    <mergeCell ref="C19:C20"/>
    <mergeCell ref="D19:D20"/>
    <mergeCell ref="Q19:R19"/>
    <mergeCell ref="A17:S17"/>
    <mergeCell ref="A18:S18"/>
    <mergeCell ref="E19:E20"/>
    <mergeCell ref="F19:F20"/>
    <mergeCell ref="I19:I20"/>
    <mergeCell ref="J19:J20"/>
    <mergeCell ref="G19:G20"/>
    <mergeCell ref="H19:H20"/>
    <mergeCell ref="K19:K20"/>
    <mergeCell ref="L19:L20"/>
    <mergeCell ref="S19:S20"/>
    <mergeCell ref="M19:M20"/>
    <mergeCell ref="N19:N20"/>
    <mergeCell ref="O19:O20"/>
    <mergeCell ref="P19:P20"/>
    <mergeCell ref="A19:A20"/>
    <mergeCell ref="A4:T4"/>
    <mergeCell ref="A6:T6"/>
    <mergeCell ref="A7:T7"/>
    <mergeCell ref="A8:T8"/>
    <mergeCell ref="A9:T9"/>
    <mergeCell ref="A15:T15"/>
    <mergeCell ref="A16:S16"/>
    <mergeCell ref="A10:T10"/>
    <mergeCell ref="A11:T11"/>
    <mergeCell ref="A12:T12"/>
    <mergeCell ref="A13:T13"/>
    <mergeCell ref="A14:T14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topLeftCell="A22" zoomScale="85" zoomScaleNormal="60" zoomScaleSheetLayoutView="85" workbookViewId="0">
      <selection activeCell="A25" sqref="A25:IV25"/>
    </sheetView>
  </sheetViews>
  <sheetFormatPr defaultColWidth="10.7109375" defaultRowHeight="15.75" x14ac:dyDescent="0.25"/>
  <cols>
    <col min="1" max="1" width="9.5703125" style="38" customWidth="1"/>
    <col min="2" max="2" width="12" style="38" customWidth="1"/>
    <col min="3" max="3" width="45.140625" style="38" customWidth="1"/>
    <col min="4" max="4" width="44.28515625" style="38" customWidth="1"/>
    <col min="5" max="5" width="11.140625" style="38" customWidth="1"/>
    <col min="6" max="6" width="12.5703125" style="38" customWidth="1"/>
    <col min="7" max="8" width="8.710937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33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48" t="str">
        <f>'1. паспорт местоположение'!$A$5</f>
        <v>Год раскрытия информации: 2019 год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</row>
    <row r="7" spans="1:20" s="10" customFormat="1" x14ac:dyDescent="0.2">
      <c r="A7" s="15"/>
      <c r="H7" s="14"/>
    </row>
    <row r="8" spans="1:20" s="10" customFormat="1" ht="18.75" x14ac:dyDescent="0.2">
      <c r="A8" s="252" t="s">
        <v>5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</row>
    <row r="9" spans="1:20" s="10" customFormat="1" ht="18.75" x14ac:dyDescent="0.2">
      <c r="A9" s="252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2"/>
    </row>
    <row r="10" spans="1:20" s="10" customFormat="1" ht="18.75" customHeight="1" x14ac:dyDescent="0.2">
      <c r="A10" s="253" t="s">
        <v>281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</row>
    <row r="11" spans="1:20" s="10" customFormat="1" ht="18.75" customHeight="1" x14ac:dyDescent="0.2">
      <c r="A11" s="249" t="s">
        <v>4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</row>
    <row r="12" spans="1:20" s="10" customFormat="1" ht="18.75" x14ac:dyDescent="0.2">
      <c r="A12" s="252"/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</row>
    <row r="13" spans="1:20" s="10" customFormat="1" ht="18.75" customHeight="1" x14ac:dyDescent="0.2">
      <c r="A13" s="253" t="str">
        <f>'1. паспорт местоположение'!$A$12</f>
        <v>I_Che152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</row>
    <row r="14" spans="1:20" s="10" customFormat="1" ht="18.75" customHeight="1" x14ac:dyDescent="0.2">
      <c r="A14" s="249" t="s">
        <v>3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</row>
    <row r="15" spans="1:20" s="7" customFormat="1" ht="15.75" customHeight="1" x14ac:dyDescent="0.2">
      <c r="A15" s="258"/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</row>
    <row r="16" spans="1:20" s="2" customFormat="1" ht="84" customHeight="1" x14ac:dyDescent="0.2">
      <c r="A16" s="278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6" s="278"/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</row>
    <row r="17" spans="1:113" s="2" customFormat="1" ht="15" customHeight="1" x14ac:dyDescent="0.2">
      <c r="A17" s="249" t="s">
        <v>2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</row>
    <row r="18" spans="1:113" s="2" customFormat="1" ht="15" customHeight="1" x14ac:dyDescent="0.2">
      <c r="A18" s="277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77"/>
      <c r="Q18" s="277"/>
      <c r="R18" s="277"/>
      <c r="S18" s="277"/>
      <c r="T18" s="277"/>
    </row>
    <row r="19" spans="1:113" s="2" customFormat="1" ht="15" customHeight="1" x14ac:dyDescent="0.2">
      <c r="A19" s="251" t="s">
        <v>253</v>
      </c>
      <c r="B19" s="251"/>
      <c r="C19" s="251"/>
      <c r="D19" s="251"/>
      <c r="E19" s="251"/>
      <c r="F19" s="251"/>
      <c r="G19" s="251"/>
      <c r="H19" s="251"/>
      <c r="I19" s="251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</row>
    <row r="20" spans="1:113" s="44" customFormat="1" ht="21" customHeight="1" x14ac:dyDescent="0.25">
      <c r="A20" s="276"/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</row>
    <row r="21" spans="1:113" ht="46.5" customHeight="1" x14ac:dyDescent="0.25">
      <c r="A21" s="266" t="s">
        <v>1</v>
      </c>
      <c r="B21" s="269" t="s">
        <v>142</v>
      </c>
      <c r="C21" s="270"/>
      <c r="D21" s="273" t="s">
        <v>41</v>
      </c>
      <c r="E21" s="269" t="s">
        <v>273</v>
      </c>
      <c r="F21" s="270"/>
      <c r="G21" s="269" t="s">
        <v>152</v>
      </c>
      <c r="H21" s="270"/>
      <c r="I21" s="269" t="s">
        <v>40</v>
      </c>
      <c r="J21" s="270"/>
      <c r="K21" s="273" t="s">
        <v>39</v>
      </c>
      <c r="L21" s="269" t="s">
        <v>38</v>
      </c>
      <c r="M21" s="270"/>
      <c r="N21" s="269" t="s">
        <v>270</v>
      </c>
      <c r="O21" s="270"/>
      <c r="P21" s="273" t="s">
        <v>37</v>
      </c>
      <c r="Q21" s="263" t="s">
        <v>36</v>
      </c>
      <c r="R21" s="264"/>
      <c r="S21" s="263" t="s">
        <v>35</v>
      </c>
      <c r="T21" s="265"/>
    </row>
    <row r="22" spans="1:113" ht="204.75" customHeight="1" x14ac:dyDescent="0.25">
      <c r="A22" s="267"/>
      <c r="B22" s="271"/>
      <c r="C22" s="272"/>
      <c r="D22" s="274"/>
      <c r="E22" s="271"/>
      <c r="F22" s="272"/>
      <c r="G22" s="271"/>
      <c r="H22" s="272"/>
      <c r="I22" s="271"/>
      <c r="J22" s="272"/>
      <c r="K22" s="275"/>
      <c r="L22" s="271"/>
      <c r="M22" s="272"/>
      <c r="N22" s="271"/>
      <c r="O22" s="272"/>
      <c r="P22" s="275"/>
      <c r="Q22" s="73" t="s">
        <v>34</v>
      </c>
      <c r="R22" s="73" t="s">
        <v>252</v>
      </c>
      <c r="S22" s="73" t="s">
        <v>33</v>
      </c>
      <c r="T22" s="73" t="s">
        <v>32</v>
      </c>
    </row>
    <row r="23" spans="1:113" ht="51.75" customHeight="1" x14ac:dyDescent="0.25">
      <c r="A23" s="268"/>
      <c r="B23" s="90" t="s">
        <v>30</v>
      </c>
      <c r="C23" s="90" t="s">
        <v>31</v>
      </c>
      <c r="D23" s="275"/>
      <c r="E23" s="90" t="s">
        <v>30</v>
      </c>
      <c r="F23" s="90" t="s">
        <v>31</v>
      </c>
      <c r="G23" s="90" t="s">
        <v>30</v>
      </c>
      <c r="H23" s="90" t="s">
        <v>31</v>
      </c>
      <c r="I23" s="90" t="s">
        <v>30</v>
      </c>
      <c r="J23" s="90" t="s">
        <v>31</v>
      </c>
      <c r="K23" s="90" t="s">
        <v>30</v>
      </c>
      <c r="L23" s="90" t="s">
        <v>30</v>
      </c>
      <c r="M23" s="90" t="s">
        <v>31</v>
      </c>
      <c r="N23" s="90" t="s">
        <v>30</v>
      </c>
      <c r="O23" s="90" t="s">
        <v>31</v>
      </c>
      <c r="P23" s="91" t="s">
        <v>30</v>
      </c>
      <c r="Q23" s="73" t="s">
        <v>30</v>
      </c>
      <c r="R23" s="73" t="s">
        <v>30</v>
      </c>
      <c r="S23" s="73" t="s">
        <v>30</v>
      </c>
      <c r="T23" s="73" t="s">
        <v>30</v>
      </c>
    </row>
    <row r="24" spans="1:113" ht="21" customHeight="1" x14ac:dyDescent="0.25">
      <c r="A24" s="49">
        <v>1</v>
      </c>
      <c r="B24" s="49">
        <v>2</v>
      </c>
      <c r="C24" s="49">
        <v>3</v>
      </c>
      <c r="D24" s="49">
        <v>4</v>
      </c>
      <c r="E24" s="49">
        <v>5</v>
      </c>
      <c r="F24" s="49">
        <v>6</v>
      </c>
      <c r="G24" s="49">
        <v>7</v>
      </c>
      <c r="H24" s="49">
        <v>8</v>
      </c>
      <c r="I24" s="49">
        <v>9</v>
      </c>
      <c r="J24" s="49">
        <v>10</v>
      </c>
      <c r="K24" s="49">
        <v>11</v>
      </c>
      <c r="L24" s="49">
        <v>12</v>
      </c>
      <c r="M24" s="49">
        <v>13</v>
      </c>
      <c r="N24" s="49">
        <v>14</v>
      </c>
      <c r="O24" s="49">
        <v>15</v>
      </c>
      <c r="P24" s="49">
        <v>16</v>
      </c>
      <c r="Q24" s="49">
        <v>17</v>
      </c>
      <c r="R24" s="49">
        <v>18</v>
      </c>
      <c r="S24" s="49">
        <v>19</v>
      </c>
      <c r="T24" s="49">
        <v>20</v>
      </c>
    </row>
    <row r="25" spans="1:113" s="44" customFormat="1" ht="25.5" customHeight="1" x14ac:dyDescent="0.25">
      <c r="A25" s="48">
        <v>1</v>
      </c>
      <c r="B25" s="46" t="s">
        <v>301</v>
      </c>
      <c r="C25" s="101" t="s">
        <v>301</v>
      </c>
      <c r="D25" s="177" t="s">
        <v>301</v>
      </c>
      <c r="E25" s="178" t="s">
        <v>301</v>
      </c>
      <c r="F25" s="177" t="s">
        <v>301</v>
      </c>
      <c r="G25" s="46" t="s">
        <v>301</v>
      </c>
      <c r="H25" s="46" t="s">
        <v>301</v>
      </c>
      <c r="I25" s="46" t="s">
        <v>301</v>
      </c>
      <c r="J25" s="46" t="s">
        <v>301</v>
      </c>
      <c r="K25" s="46" t="s">
        <v>301</v>
      </c>
      <c r="L25" s="46" t="s">
        <v>301</v>
      </c>
      <c r="M25" s="47" t="s">
        <v>301</v>
      </c>
      <c r="N25" s="47" t="s">
        <v>301</v>
      </c>
      <c r="O25" s="47" t="s">
        <v>301</v>
      </c>
      <c r="P25" s="45" t="s">
        <v>301</v>
      </c>
      <c r="Q25" s="45" t="s">
        <v>301</v>
      </c>
      <c r="R25" s="45" t="s">
        <v>301</v>
      </c>
      <c r="S25" s="45" t="s">
        <v>301</v>
      </c>
      <c r="T25" s="45" t="s">
        <v>301</v>
      </c>
    </row>
    <row r="26" spans="1:113" ht="21.75" customHeight="1" x14ac:dyDescent="0.25"/>
    <row r="27" spans="1:113" s="42" customFormat="1" ht="12.75" x14ac:dyDescent="0.2">
      <c r="B27" s="43"/>
      <c r="C27" s="43"/>
      <c r="K27" s="43"/>
    </row>
    <row r="28" spans="1:113" s="39" customFormat="1" x14ac:dyDescent="0.25"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</row>
  </sheetData>
  <mergeCells count="26">
    <mergeCell ref="A13:T13"/>
    <mergeCell ref="A20:T20"/>
    <mergeCell ref="K21:K22"/>
    <mergeCell ref="A18:T18"/>
    <mergeCell ref="G21:H22"/>
    <mergeCell ref="I21:J22"/>
    <mergeCell ref="A15:T15"/>
    <mergeCell ref="A14:T14"/>
    <mergeCell ref="A16:T16"/>
    <mergeCell ref="L21:M22"/>
    <mergeCell ref="A6:T6"/>
    <mergeCell ref="Q21:R21"/>
    <mergeCell ref="S21:T21"/>
    <mergeCell ref="A8:T8"/>
    <mergeCell ref="A9:T9"/>
    <mergeCell ref="A10:T10"/>
    <mergeCell ref="A11:T11"/>
    <mergeCell ref="A12:T12"/>
    <mergeCell ref="A21:A23"/>
    <mergeCell ref="E21:F22"/>
    <mergeCell ref="A17:T17"/>
    <mergeCell ref="N21:O22"/>
    <mergeCell ref="B21:C22"/>
    <mergeCell ref="A19:T19"/>
    <mergeCell ref="D21:D23"/>
    <mergeCell ref="P21:P22"/>
  </mergeCells>
  <phoneticPr fontId="46" type="noConversion"/>
  <pageMargins left="0.21" right="0.17" top="0.78740157480314965" bottom="0.39370078740157483" header="0.19685039370078741" footer="0.19685039370078741"/>
  <pageSetup paperSize="8" scale="6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A10" zoomScale="85" zoomScaleNormal="100" zoomScaleSheetLayoutView="85" workbookViewId="0">
      <selection activeCell="D21" sqref="D21:E22"/>
    </sheetView>
  </sheetViews>
  <sheetFormatPr defaultColWidth="17.7109375" defaultRowHeight="15.75" x14ac:dyDescent="0.25"/>
  <cols>
    <col min="1" max="2" width="10.7109375" style="38" customWidth="1"/>
    <col min="3" max="3" width="37.7109375" style="38" customWidth="1"/>
    <col min="4" max="4" width="14.140625" style="38" customWidth="1"/>
    <col min="5" max="5" width="38.2851562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5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2" width="8.7109375" style="38" customWidth="1"/>
    <col min="23" max="23" width="11.855468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33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48" t="str">
        <f>'1. паспорт местоположение'!$A$5</f>
        <v>Год раскрытия информации: 2019 год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</row>
    <row r="6" spans="1:27" s="10" customFormat="1" x14ac:dyDescent="0.2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7" s="10" customFormat="1" ht="18.75" x14ac:dyDescent="0.2">
      <c r="E7" s="252" t="s">
        <v>5</v>
      </c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253" t="s">
        <v>281</v>
      </c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</row>
    <row r="10" spans="1:27" s="10" customFormat="1" ht="18.75" customHeight="1" x14ac:dyDescent="0.2">
      <c r="E10" s="249" t="s">
        <v>4</v>
      </c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253" t="str">
        <f>'1. паспорт местоположение'!$A$12</f>
        <v>I_Che152</v>
      </c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</row>
    <row r="13" spans="1:27" s="10" customFormat="1" ht="18.75" customHeight="1" x14ac:dyDescent="0.2">
      <c r="E13" s="249" t="s">
        <v>3</v>
      </c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99" customHeight="1" x14ac:dyDescent="0.2">
      <c r="E15" s="278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8"/>
    </row>
    <row r="16" spans="1:27" s="2" customFormat="1" ht="15" customHeight="1" x14ac:dyDescent="0.2">
      <c r="E16" s="249" t="s">
        <v>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251"/>
    </row>
    <row r="19" spans="1:27" ht="25.5" customHeight="1" x14ac:dyDescent="0.25">
      <c r="A19" s="251" t="s">
        <v>255</v>
      </c>
      <c r="B19" s="251"/>
      <c r="C19" s="251"/>
      <c r="D19" s="251"/>
      <c r="E19" s="251"/>
      <c r="F19" s="251"/>
      <c r="G19" s="251"/>
      <c r="H19" s="251"/>
      <c r="I19" s="251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  <c r="AA19" s="251"/>
    </row>
    <row r="20" spans="1:27" s="44" customFormat="1" ht="21" customHeight="1" x14ac:dyDescent="0.25"/>
    <row r="21" spans="1:27" ht="15.75" customHeight="1" x14ac:dyDescent="0.25">
      <c r="A21" s="279" t="s">
        <v>1</v>
      </c>
      <c r="B21" s="282" t="s">
        <v>260</v>
      </c>
      <c r="C21" s="283"/>
      <c r="D21" s="282" t="s">
        <v>262</v>
      </c>
      <c r="E21" s="283"/>
      <c r="F21" s="263" t="s">
        <v>29</v>
      </c>
      <c r="G21" s="265"/>
      <c r="H21" s="265"/>
      <c r="I21" s="264"/>
      <c r="J21" s="279" t="s">
        <v>263</v>
      </c>
      <c r="K21" s="282" t="s">
        <v>264</v>
      </c>
      <c r="L21" s="283"/>
      <c r="M21" s="282" t="s">
        <v>265</v>
      </c>
      <c r="N21" s="283"/>
      <c r="O21" s="282" t="s">
        <v>254</v>
      </c>
      <c r="P21" s="283"/>
      <c r="Q21" s="282" t="s">
        <v>46</v>
      </c>
      <c r="R21" s="283"/>
      <c r="S21" s="279" t="s">
        <v>45</v>
      </c>
      <c r="T21" s="279" t="s">
        <v>266</v>
      </c>
      <c r="U21" s="279" t="s">
        <v>261</v>
      </c>
      <c r="V21" s="282" t="s">
        <v>44</v>
      </c>
      <c r="W21" s="283"/>
      <c r="X21" s="263" t="s">
        <v>36</v>
      </c>
      <c r="Y21" s="265"/>
      <c r="Z21" s="263" t="s">
        <v>35</v>
      </c>
      <c r="AA21" s="265"/>
    </row>
    <row r="22" spans="1:27" ht="216" customHeight="1" x14ac:dyDescent="0.25">
      <c r="A22" s="280"/>
      <c r="B22" s="284"/>
      <c r="C22" s="285"/>
      <c r="D22" s="284"/>
      <c r="E22" s="285"/>
      <c r="F22" s="263" t="s">
        <v>43</v>
      </c>
      <c r="G22" s="264"/>
      <c r="H22" s="263" t="s">
        <v>42</v>
      </c>
      <c r="I22" s="264"/>
      <c r="J22" s="281"/>
      <c r="K22" s="284"/>
      <c r="L22" s="285"/>
      <c r="M22" s="284"/>
      <c r="N22" s="285"/>
      <c r="O22" s="284"/>
      <c r="P22" s="285"/>
      <c r="Q22" s="284"/>
      <c r="R22" s="285"/>
      <c r="S22" s="281"/>
      <c r="T22" s="281"/>
      <c r="U22" s="281"/>
      <c r="V22" s="284"/>
      <c r="W22" s="285"/>
      <c r="X22" s="73" t="s">
        <v>34</v>
      </c>
      <c r="Y22" s="73" t="s">
        <v>252</v>
      </c>
      <c r="Z22" s="73" t="s">
        <v>33</v>
      </c>
      <c r="AA22" s="73" t="s">
        <v>32</v>
      </c>
    </row>
    <row r="23" spans="1:27" ht="60" customHeight="1" x14ac:dyDescent="0.25">
      <c r="A23" s="281"/>
      <c r="B23" s="74" t="s">
        <v>30</v>
      </c>
      <c r="C23" s="74" t="s">
        <v>31</v>
      </c>
      <c r="D23" s="74" t="s">
        <v>30</v>
      </c>
      <c r="E23" s="74" t="s">
        <v>31</v>
      </c>
      <c r="F23" s="74" t="s">
        <v>30</v>
      </c>
      <c r="G23" s="74" t="s">
        <v>31</v>
      </c>
      <c r="H23" s="74" t="s">
        <v>30</v>
      </c>
      <c r="I23" s="74" t="s">
        <v>31</v>
      </c>
      <c r="J23" s="74" t="s">
        <v>30</v>
      </c>
      <c r="K23" s="74" t="s">
        <v>30</v>
      </c>
      <c r="L23" s="74" t="s">
        <v>31</v>
      </c>
      <c r="M23" s="74" t="s">
        <v>30</v>
      </c>
      <c r="N23" s="74" t="s">
        <v>31</v>
      </c>
      <c r="O23" s="74" t="s">
        <v>30</v>
      </c>
      <c r="P23" s="74" t="s">
        <v>31</v>
      </c>
      <c r="Q23" s="74" t="s">
        <v>30</v>
      </c>
      <c r="R23" s="74" t="s">
        <v>31</v>
      </c>
      <c r="S23" s="74" t="s">
        <v>30</v>
      </c>
      <c r="T23" s="74" t="s">
        <v>30</v>
      </c>
      <c r="U23" s="74" t="s">
        <v>30</v>
      </c>
      <c r="V23" s="74" t="s">
        <v>30</v>
      </c>
      <c r="W23" s="74" t="s">
        <v>31</v>
      </c>
      <c r="X23" s="74" t="s">
        <v>30</v>
      </c>
      <c r="Y23" s="74" t="s">
        <v>30</v>
      </c>
      <c r="Z23" s="73" t="s">
        <v>30</v>
      </c>
      <c r="AA23" s="73" t="s">
        <v>30</v>
      </c>
    </row>
    <row r="24" spans="1:27" x14ac:dyDescent="0.25">
      <c r="A24" s="75">
        <v>1</v>
      </c>
      <c r="B24" s="7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  <c r="M24" s="75">
        <v>13</v>
      </c>
      <c r="N24" s="75">
        <v>14</v>
      </c>
      <c r="O24" s="75">
        <v>15</v>
      </c>
      <c r="P24" s="75">
        <v>16</v>
      </c>
      <c r="Q24" s="75">
        <v>19</v>
      </c>
      <c r="R24" s="75">
        <v>20</v>
      </c>
      <c r="S24" s="75">
        <v>21</v>
      </c>
      <c r="T24" s="75">
        <v>22</v>
      </c>
      <c r="U24" s="75">
        <v>23</v>
      </c>
      <c r="V24" s="75">
        <v>24</v>
      </c>
      <c r="W24" s="75">
        <v>25</v>
      </c>
      <c r="X24" s="75">
        <v>26</v>
      </c>
      <c r="Y24" s="75">
        <v>27</v>
      </c>
      <c r="Z24" s="75">
        <v>28</v>
      </c>
      <c r="AA24" s="75">
        <v>29</v>
      </c>
    </row>
    <row r="25" spans="1:27" s="200" customFormat="1" ht="31.5" x14ac:dyDescent="0.25">
      <c r="A25" s="46">
        <v>1</v>
      </c>
      <c r="B25" s="46" t="s">
        <v>301</v>
      </c>
      <c r="C25" s="197" t="s">
        <v>474</v>
      </c>
      <c r="D25" s="46"/>
      <c r="E25" s="197" t="s">
        <v>441</v>
      </c>
      <c r="F25" s="46"/>
      <c r="G25" s="46"/>
      <c r="H25" s="46"/>
      <c r="I25" s="46"/>
      <c r="J25" s="198">
        <v>2018</v>
      </c>
      <c r="K25" s="46"/>
      <c r="L25" s="198">
        <v>2</v>
      </c>
      <c r="M25" s="46"/>
      <c r="N25" s="175" t="s">
        <v>440</v>
      </c>
      <c r="O25" s="119" t="s">
        <v>301</v>
      </c>
      <c r="P25" s="175" t="s">
        <v>279</v>
      </c>
      <c r="Q25" s="46"/>
      <c r="R25" s="198">
        <v>2</v>
      </c>
      <c r="S25" s="199" t="s">
        <v>301</v>
      </c>
      <c r="T25" s="199" t="s">
        <v>301</v>
      </c>
      <c r="U25" s="199" t="s">
        <v>301</v>
      </c>
      <c r="V25" s="199" t="s">
        <v>301</v>
      </c>
      <c r="W25" s="119" t="s">
        <v>291</v>
      </c>
      <c r="X25" s="46" t="s">
        <v>301</v>
      </c>
      <c r="Y25" s="46" t="s">
        <v>301</v>
      </c>
      <c r="Z25" s="46" t="s">
        <v>301</v>
      </c>
      <c r="AA25" s="46" t="s">
        <v>301</v>
      </c>
    </row>
  </sheetData>
  <mergeCells count="27">
    <mergeCell ref="A5:AA5"/>
    <mergeCell ref="E16:Y16"/>
    <mergeCell ref="E15:Y15"/>
    <mergeCell ref="E7:Y7"/>
    <mergeCell ref="E9:Y9"/>
    <mergeCell ref="E10:Y10"/>
    <mergeCell ref="E12:Y12"/>
    <mergeCell ref="E13:Y13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honeticPr fontId="46" type="noConversion"/>
  <pageMargins left="0.15748031496062992" right="0.15748031496062992" top="0.78740157480314965" bottom="0.39370078740157483" header="0.19685039370078741" footer="0.19685039370078741"/>
  <pageSetup paperSize="8" scale="4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view="pageBreakPreview" topLeftCell="A13" zoomScale="80" zoomScaleNormal="100" zoomScaleSheetLayoutView="8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92.140625" style="1" customWidth="1"/>
    <col min="4" max="16384" width="9.140625" style="1"/>
  </cols>
  <sheetData>
    <row r="1" spans="1:4" s="10" customFormat="1" ht="18.75" customHeight="1" x14ac:dyDescent="0.2">
      <c r="A1" s="16"/>
      <c r="C1" s="33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48" t="str">
        <f>'1. паспорт местоположение'!$A$5</f>
        <v>Год раскрытия информации: 2019 год</v>
      </c>
      <c r="B5" s="248"/>
      <c r="C5" s="248"/>
      <c r="D5" s="94"/>
    </row>
    <row r="6" spans="1:4" s="10" customFormat="1" ht="7.5" customHeight="1" x14ac:dyDescent="0.2">
      <c r="A6" s="15"/>
    </row>
    <row r="7" spans="1:4" s="10" customFormat="1" ht="18.75" x14ac:dyDescent="0.2">
      <c r="A7" s="252" t="s">
        <v>5</v>
      </c>
      <c r="B7" s="252"/>
      <c r="C7" s="252"/>
    </row>
    <row r="8" spans="1:4" s="10" customFormat="1" ht="9.75" customHeight="1" x14ac:dyDescent="0.2">
      <c r="A8" s="252"/>
      <c r="B8" s="252"/>
      <c r="C8" s="252"/>
    </row>
    <row r="9" spans="1:4" s="10" customFormat="1" ht="15.75" x14ac:dyDescent="0.2">
      <c r="A9" s="253" t="s">
        <v>281</v>
      </c>
      <c r="B9" s="253"/>
      <c r="C9" s="253"/>
    </row>
    <row r="10" spans="1:4" s="10" customFormat="1" ht="15.75" x14ac:dyDescent="0.2">
      <c r="A10" s="249" t="s">
        <v>4</v>
      </c>
      <c r="B10" s="249"/>
      <c r="C10" s="249"/>
    </row>
    <row r="11" spans="1:4" s="10" customFormat="1" ht="10.5" customHeight="1" x14ac:dyDescent="0.2">
      <c r="A11" s="252"/>
      <c r="B11" s="252"/>
      <c r="C11" s="252"/>
    </row>
    <row r="12" spans="1:4" s="10" customFormat="1" ht="15.75" x14ac:dyDescent="0.2">
      <c r="A12" s="253" t="str">
        <f>'1. паспорт местоположение'!$A$12</f>
        <v>I_Che152</v>
      </c>
      <c r="B12" s="253"/>
      <c r="C12" s="253"/>
    </row>
    <row r="13" spans="1:4" s="10" customFormat="1" ht="15.75" x14ac:dyDescent="0.2">
      <c r="A13" s="249" t="s">
        <v>3</v>
      </c>
      <c r="B13" s="249"/>
      <c r="C13" s="249"/>
    </row>
    <row r="14" spans="1:4" s="7" customFormat="1" ht="15.75" customHeight="1" x14ac:dyDescent="0.2">
      <c r="A14" s="258"/>
      <c r="B14" s="258"/>
      <c r="C14" s="258"/>
    </row>
    <row r="15" spans="1:4" s="2" customFormat="1" ht="98.25" customHeight="1" x14ac:dyDescent="0.2">
      <c r="A15" s="286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5" s="286"/>
      <c r="C15" s="286"/>
    </row>
    <row r="16" spans="1:4" s="2" customFormat="1" ht="15" customHeight="1" x14ac:dyDescent="0.2">
      <c r="A16" s="249" t="s">
        <v>2</v>
      </c>
      <c r="B16" s="249"/>
      <c r="C16" s="249"/>
    </row>
    <row r="17" spans="1:3" s="2" customFormat="1" ht="9" customHeight="1" x14ac:dyDescent="0.2">
      <c r="A17" s="277"/>
      <c r="B17" s="277"/>
      <c r="C17" s="277"/>
    </row>
    <row r="18" spans="1:3" s="2" customFormat="1" ht="27.75" customHeight="1" x14ac:dyDescent="0.2">
      <c r="A18" s="250" t="s">
        <v>250</v>
      </c>
      <c r="B18" s="250"/>
      <c r="C18" s="250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9" t="s">
        <v>1</v>
      </c>
      <c r="B20" s="127" t="s">
        <v>20</v>
      </c>
      <c r="C20" s="125" t="s">
        <v>19</v>
      </c>
    </row>
    <row r="21" spans="1:3" s="2" customFormat="1" ht="16.5" customHeight="1" x14ac:dyDescent="0.2">
      <c r="A21" s="31">
        <v>1</v>
      </c>
      <c r="B21" s="32">
        <v>2</v>
      </c>
      <c r="C21" s="31">
        <v>3</v>
      </c>
    </row>
    <row r="22" spans="1:3" s="153" customFormat="1" ht="32.25" customHeight="1" x14ac:dyDescent="0.25">
      <c r="A22" s="151" t="s">
        <v>18</v>
      </c>
      <c r="B22" s="24" t="s">
        <v>258</v>
      </c>
      <c r="C22" s="152" t="s">
        <v>475</v>
      </c>
    </row>
    <row r="23" spans="1:3" s="154" customFormat="1" ht="31.5" x14ac:dyDescent="0.25">
      <c r="A23" s="151" t="s">
        <v>17</v>
      </c>
      <c r="B23" s="20" t="s">
        <v>14</v>
      </c>
      <c r="C23" s="19" t="s">
        <v>476</v>
      </c>
    </row>
    <row r="24" spans="1:3" s="154" customFormat="1" ht="36.75" customHeight="1" x14ac:dyDescent="0.25">
      <c r="A24" s="151" t="s">
        <v>16</v>
      </c>
      <c r="B24" s="97" t="s">
        <v>271</v>
      </c>
      <c r="C24" s="19" t="s">
        <v>477</v>
      </c>
    </row>
    <row r="25" spans="1:3" s="154" customFormat="1" ht="38.25" customHeight="1" x14ac:dyDescent="0.25">
      <c r="A25" s="151" t="s">
        <v>15</v>
      </c>
      <c r="B25" s="97" t="s">
        <v>272</v>
      </c>
      <c r="C25" s="176" t="s">
        <v>478</v>
      </c>
    </row>
    <row r="26" spans="1:3" s="154" customFormat="1" ht="33" customHeight="1" x14ac:dyDescent="0.25">
      <c r="A26" s="151" t="s">
        <v>13</v>
      </c>
      <c r="B26" s="20" t="s">
        <v>150</v>
      </c>
      <c r="C26" s="19" t="s">
        <v>479</v>
      </c>
    </row>
    <row r="27" spans="1:3" s="154" customFormat="1" ht="85.5" customHeight="1" x14ac:dyDescent="0.25">
      <c r="A27" s="151" t="s">
        <v>12</v>
      </c>
      <c r="B27" s="20" t="s">
        <v>259</v>
      </c>
      <c r="C27" s="19" t="s">
        <v>488</v>
      </c>
    </row>
    <row r="28" spans="1:3" s="154" customFormat="1" ht="18.75" customHeight="1" x14ac:dyDescent="0.25">
      <c r="A28" s="151" t="s">
        <v>10</v>
      </c>
      <c r="B28" s="20" t="s">
        <v>11</v>
      </c>
      <c r="C28" s="235">
        <f>VLOOKUP($A$12,'[1]6.2. отчет'!$D:$OP,399,0)</f>
        <v>2018</v>
      </c>
    </row>
    <row r="29" spans="1:3" s="154" customFormat="1" ht="19.5" customHeight="1" x14ac:dyDescent="0.25">
      <c r="A29" s="151" t="s">
        <v>8</v>
      </c>
      <c r="B29" s="19" t="s">
        <v>9</v>
      </c>
      <c r="C29" s="235">
        <f>VLOOKUP($A$12,'[1]6.2. отчет'!$D:$OP,402,0)</f>
        <v>2019</v>
      </c>
    </row>
    <row r="30" spans="1:3" s="154" customFormat="1" ht="22.5" customHeight="1" x14ac:dyDescent="0.25">
      <c r="A30" s="151" t="s">
        <v>26</v>
      </c>
      <c r="B30" s="19" t="s">
        <v>7</v>
      </c>
      <c r="C30" s="235" t="str">
        <f>VLOOKUP($A$12,'[1]6.2. отчет'!$D:$OP,403,0)</f>
        <v>з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5:C5"/>
    <mergeCell ref="A7:C7"/>
    <mergeCell ref="A8:C8"/>
    <mergeCell ref="A9:C9"/>
    <mergeCell ref="A10:C10"/>
    <mergeCell ref="A11:C11"/>
    <mergeCell ref="A15:C15"/>
    <mergeCell ref="A16:C16"/>
    <mergeCell ref="A17:C17"/>
    <mergeCell ref="A18:C18"/>
    <mergeCell ref="A12:C12"/>
    <mergeCell ref="A13:C13"/>
    <mergeCell ref="A14:C14"/>
  </mergeCells>
  <phoneticPr fontId="46" type="noConversion"/>
  <pageMargins left="0.35433070866141736" right="0.27559055118110237" top="0.27559055118110237" bottom="0.31496062992125984" header="0.15748031496062992" footer="0.15748031496062992"/>
  <pageSetup paperSize="9" scale="8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topLeftCell="A10" zoomScale="70" zoomScaleNormal="80" zoomScaleSheetLayoutView="70" workbookViewId="0">
      <selection activeCell="A15" sqref="A15:T15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3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48" t="str">
        <f>'1. паспорт местоположение'!$A$5</f>
        <v>Год раскрытия информации: 2019 год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</row>
    <row r="5" spans="1:28" s="10" customFormat="1" ht="15.75" x14ac:dyDescent="0.2">
      <c r="A5" s="15"/>
      <c r="H5" s="14"/>
    </row>
    <row r="6" spans="1:28" s="10" customFormat="1" ht="18.75" x14ac:dyDescent="0.2">
      <c r="A6" s="252" t="s">
        <v>5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</row>
    <row r="7" spans="1:28" s="10" customFormat="1" ht="18.75" x14ac:dyDescent="0.2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</row>
    <row r="8" spans="1:28" s="10" customFormat="1" ht="18.75" customHeight="1" x14ac:dyDescent="0.2">
      <c r="A8" s="253" t="s">
        <v>294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</row>
    <row r="9" spans="1:28" s="10" customFormat="1" ht="18.75" customHeight="1" x14ac:dyDescent="0.2">
      <c r="A9" s="249" t="s">
        <v>4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</row>
    <row r="10" spans="1:28" s="10" customFormat="1" ht="18.75" x14ac:dyDescent="0.2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</row>
    <row r="11" spans="1:28" s="10" customFormat="1" ht="18.75" customHeight="1" x14ac:dyDescent="0.2">
      <c r="A11" s="253" t="str">
        <f>'1. паспорт местоположение'!A12:C12</f>
        <v>I_Che152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</row>
    <row r="12" spans="1:28" s="10" customFormat="1" ht="18.75" customHeight="1" x14ac:dyDescent="0.2">
      <c r="A12" s="249" t="s">
        <v>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</row>
    <row r="13" spans="1:28" s="7" customFormat="1" ht="15.75" customHeight="1" x14ac:dyDescent="0.2">
      <c r="A13" s="258"/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</row>
    <row r="14" spans="1:28" s="2" customFormat="1" ht="95.25" customHeight="1" x14ac:dyDescent="0.2">
      <c r="A14" s="278" t="str">
        <f>'1. паспорт местоположение'!A15:C15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</row>
    <row r="15" spans="1:28" s="2" customFormat="1" ht="15" customHeight="1" x14ac:dyDescent="0.2">
      <c r="A15" s="249" t="s">
        <v>2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</row>
    <row r="16" spans="1:28" s="129" customFormat="1" x14ac:dyDescent="0.25">
      <c r="A16" s="291"/>
      <c r="B16" s="291"/>
      <c r="C16" s="291"/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291"/>
      <c r="Y16" s="291"/>
      <c r="Z16" s="291"/>
      <c r="AA16" s="128"/>
      <c r="AB16" s="128"/>
    </row>
    <row r="17" spans="1:28" s="129" customFormat="1" x14ac:dyDescent="0.25">
      <c r="A17" s="291"/>
      <c r="B17" s="291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  <c r="T17" s="291"/>
      <c r="U17" s="291"/>
      <c r="V17" s="291"/>
      <c r="W17" s="291"/>
      <c r="X17" s="291"/>
      <c r="Y17" s="291"/>
      <c r="Z17" s="291"/>
      <c r="AA17" s="128"/>
      <c r="AB17" s="128"/>
    </row>
    <row r="18" spans="1:28" s="129" customFormat="1" x14ac:dyDescent="0.25">
      <c r="A18" s="291"/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1"/>
      <c r="X18" s="291"/>
      <c r="Y18" s="291"/>
      <c r="Z18" s="291"/>
      <c r="AA18" s="128"/>
      <c r="AB18" s="128"/>
    </row>
    <row r="19" spans="1:28" x14ac:dyDescent="0.25">
      <c r="A19" s="292"/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R19" s="292"/>
      <c r="S19" s="292"/>
      <c r="T19" s="292"/>
      <c r="U19" s="292"/>
      <c r="V19" s="292"/>
      <c r="W19" s="292"/>
      <c r="X19" s="292"/>
      <c r="Y19" s="292"/>
      <c r="Z19" s="292"/>
      <c r="AA19" s="130"/>
      <c r="AB19" s="130"/>
    </row>
    <row r="20" spans="1:28" x14ac:dyDescent="0.25">
      <c r="A20" s="291"/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128"/>
      <c r="AB20" s="128"/>
    </row>
    <row r="21" spans="1:28" x14ac:dyDescent="0.25">
      <c r="A21" s="291"/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1"/>
      <c r="X21" s="291"/>
      <c r="Y21" s="291"/>
      <c r="Z21" s="291"/>
      <c r="AA21" s="128"/>
      <c r="AB21" s="128"/>
    </row>
    <row r="22" spans="1:28" x14ac:dyDescent="0.25">
      <c r="A22" s="293" t="s">
        <v>324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131"/>
      <c r="AB22" s="131"/>
    </row>
    <row r="23" spans="1:28" ht="32.25" customHeight="1" x14ac:dyDescent="0.25">
      <c r="A23" s="287" t="s">
        <v>325</v>
      </c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89"/>
      <c r="M23" s="290" t="s">
        <v>326</v>
      </c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</row>
    <row r="24" spans="1:28" ht="151.5" customHeight="1" x14ac:dyDescent="0.25">
      <c r="A24" s="132" t="s">
        <v>327</v>
      </c>
      <c r="B24" s="133" t="s">
        <v>328</v>
      </c>
      <c r="C24" s="132" t="s">
        <v>329</v>
      </c>
      <c r="D24" s="132" t="s">
        <v>330</v>
      </c>
      <c r="E24" s="132" t="s">
        <v>331</v>
      </c>
      <c r="F24" s="132" t="s">
        <v>332</v>
      </c>
      <c r="G24" s="132" t="s">
        <v>333</v>
      </c>
      <c r="H24" s="132" t="s">
        <v>334</v>
      </c>
      <c r="I24" s="132" t="s">
        <v>335</v>
      </c>
      <c r="J24" s="132" t="s">
        <v>336</v>
      </c>
      <c r="K24" s="133" t="s">
        <v>337</v>
      </c>
      <c r="L24" s="133" t="s">
        <v>338</v>
      </c>
      <c r="M24" s="134" t="s">
        <v>339</v>
      </c>
      <c r="N24" s="133" t="s">
        <v>340</v>
      </c>
      <c r="O24" s="132" t="s">
        <v>341</v>
      </c>
      <c r="P24" s="132" t="s">
        <v>342</v>
      </c>
      <c r="Q24" s="132" t="s">
        <v>343</v>
      </c>
      <c r="R24" s="132" t="s">
        <v>334</v>
      </c>
      <c r="S24" s="132" t="s">
        <v>344</v>
      </c>
      <c r="T24" s="132" t="s">
        <v>345</v>
      </c>
      <c r="U24" s="132" t="s">
        <v>346</v>
      </c>
      <c r="V24" s="132" t="s">
        <v>343</v>
      </c>
      <c r="W24" s="135" t="s">
        <v>347</v>
      </c>
      <c r="X24" s="135" t="s">
        <v>348</v>
      </c>
      <c r="Y24" s="135" t="s">
        <v>349</v>
      </c>
      <c r="Z24" s="136" t="s">
        <v>350</v>
      </c>
    </row>
    <row r="25" spans="1:28" ht="16.5" customHeight="1" x14ac:dyDescent="0.25">
      <c r="A25" s="132">
        <v>1</v>
      </c>
      <c r="B25" s="133">
        <v>2</v>
      </c>
      <c r="C25" s="132">
        <v>3</v>
      </c>
      <c r="D25" s="133">
        <v>4</v>
      </c>
      <c r="E25" s="132">
        <v>5</v>
      </c>
      <c r="F25" s="133">
        <v>6</v>
      </c>
      <c r="G25" s="132">
        <v>7</v>
      </c>
      <c r="H25" s="133">
        <v>8</v>
      </c>
      <c r="I25" s="132">
        <v>9</v>
      </c>
      <c r="J25" s="133">
        <v>10</v>
      </c>
      <c r="K25" s="132">
        <v>11</v>
      </c>
      <c r="L25" s="133">
        <v>12</v>
      </c>
      <c r="M25" s="132">
        <v>13</v>
      </c>
      <c r="N25" s="133">
        <v>14</v>
      </c>
      <c r="O25" s="132">
        <v>15</v>
      </c>
      <c r="P25" s="133">
        <v>16</v>
      </c>
      <c r="Q25" s="132">
        <v>17</v>
      </c>
      <c r="R25" s="133">
        <v>18</v>
      </c>
      <c r="S25" s="132">
        <v>19</v>
      </c>
      <c r="T25" s="133">
        <v>20</v>
      </c>
      <c r="U25" s="132">
        <v>21</v>
      </c>
      <c r="V25" s="133">
        <v>22</v>
      </c>
      <c r="W25" s="132">
        <v>23</v>
      </c>
      <c r="X25" s="133">
        <v>24</v>
      </c>
      <c r="Y25" s="132">
        <v>25</v>
      </c>
      <c r="Z25" s="133">
        <v>26</v>
      </c>
    </row>
    <row r="26" spans="1:28" ht="45.75" customHeight="1" x14ac:dyDescent="0.25">
      <c r="A26" s="137" t="s">
        <v>351</v>
      </c>
      <c r="B26" s="72"/>
      <c r="C26" s="138" t="s">
        <v>352</v>
      </c>
      <c r="D26" s="138" t="s">
        <v>353</v>
      </c>
      <c r="E26" s="138" t="s">
        <v>354</v>
      </c>
      <c r="F26" s="138" t="s">
        <v>355</v>
      </c>
      <c r="G26" s="138" t="s">
        <v>356</v>
      </c>
      <c r="H26" s="138" t="s">
        <v>334</v>
      </c>
      <c r="I26" s="138" t="s">
        <v>357</v>
      </c>
      <c r="J26" s="138" t="s">
        <v>358</v>
      </c>
      <c r="K26" s="139"/>
      <c r="L26" s="140" t="s">
        <v>359</v>
      </c>
      <c r="M26" s="141" t="s">
        <v>290</v>
      </c>
      <c r="N26" s="139" t="s">
        <v>301</v>
      </c>
      <c r="O26" s="139" t="s">
        <v>301</v>
      </c>
      <c r="P26" s="139" t="s">
        <v>301</v>
      </c>
      <c r="Q26" s="139" t="s">
        <v>301</v>
      </c>
      <c r="R26" s="139" t="s">
        <v>301</v>
      </c>
      <c r="S26" s="139" t="s">
        <v>301</v>
      </c>
      <c r="T26" s="139" t="s">
        <v>301</v>
      </c>
      <c r="U26" s="139" t="s">
        <v>301</v>
      </c>
      <c r="V26" s="139" t="s">
        <v>301</v>
      </c>
      <c r="W26" s="139" t="s">
        <v>301</v>
      </c>
      <c r="X26" s="139" t="s">
        <v>301</v>
      </c>
      <c r="Y26" s="139" t="s">
        <v>301</v>
      </c>
      <c r="Z26" s="142" t="s">
        <v>360</v>
      </c>
    </row>
    <row r="27" spans="1:28" x14ac:dyDescent="0.25">
      <c r="A27" s="139" t="s">
        <v>361</v>
      </c>
      <c r="B27" s="139" t="s">
        <v>362</v>
      </c>
      <c r="C27" s="139" t="s">
        <v>301</v>
      </c>
      <c r="D27" s="139" t="s">
        <v>301</v>
      </c>
      <c r="E27" s="139" t="s">
        <v>301</v>
      </c>
      <c r="F27" s="139" t="s">
        <v>301</v>
      </c>
      <c r="G27" s="139" t="s">
        <v>301</v>
      </c>
      <c r="H27" s="139" t="s">
        <v>301</v>
      </c>
      <c r="I27" s="139" t="s">
        <v>301</v>
      </c>
      <c r="J27" s="139" t="s">
        <v>301</v>
      </c>
      <c r="K27" s="140" t="s">
        <v>363</v>
      </c>
      <c r="L27" s="139" t="s">
        <v>301</v>
      </c>
      <c r="M27" s="140" t="s">
        <v>280</v>
      </c>
      <c r="N27" s="139" t="s">
        <v>301</v>
      </c>
      <c r="O27" s="139" t="s">
        <v>301</v>
      </c>
      <c r="P27" s="139" t="s">
        <v>301</v>
      </c>
      <c r="Q27" s="139" t="s">
        <v>301</v>
      </c>
      <c r="R27" s="139" t="s">
        <v>301</v>
      </c>
      <c r="S27" s="139" t="s">
        <v>301</v>
      </c>
      <c r="T27" s="139" t="s">
        <v>301</v>
      </c>
      <c r="U27" s="139" t="s">
        <v>301</v>
      </c>
      <c r="V27" s="139" t="s">
        <v>301</v>
      </c>
      <c r="W27" s="139" t="s">
        <v>301</v>
      </c>
      <c r="X27" s="139" t="s">
        <v>301</v>
      </c>
      <c r="Y27" s="139" t="s">
        <v>301</v>
      </c>
      <c r="Z27" s="139" t="s">
        <v>301</v>
      </c>
    </row>
    <row r="28" spans="1:28" x14ac:dyDescent="0.25">
      <c r="A28" s="139" t="s">
        <v>361</v>
      </c>
      <c r="B28" s="139" t="s">
        <v>364</v>
      </c>
      <c r="C28" s="139" t="s">
        <v>301</v>
      </c>
      <c r="D28" s="139" t="s">
        <v>301</v>
      </c>
      <c r="E28" s="139" t="s">
        <v>301</v>
      </c>
      <c r="F28" s="139" t="s">
        <v>301</v>
      </c>
      <c r="G28" s="139" t="s">
        <v>301</v>
      </c>
      <c r="H28" s="139" t="s">
        <v>301</v>
      </c>
      <c r="I28" s="139" t="s">
        <v>301</v>
      </c>
      <c r="J28" s="139" t="s">
        <v>301</v>
      </c>
      <c r="K28" s="140" t="s">
        <v>365</v>
      </c>
      <c r="L28" s="139" t="s">
        <v>301</v>
      </c>
      <c r="M28" s="140" t="s">
        <v>366</v>
      </c>
      <c r="N28" s="139" t="s">
        <v>301</v>
      </c>
      <c r="O28" s="139" t="s">
        <v>301</v>
      </c>
      <c r="P28" s="139" t="s">
        <v>301</v>
      </c>
      <c r="Q28" s="139" t="s">
        <v>301</v>
      </c>
      <c r="R28" s="139" t="s">
        <v>301</v>
      </c>
      <c r="S28" s="139" t="s">
        <v>301</v>
      </c>
      <c r="T28" s="139" t="s">
        <v>301</v>
      </c>
      <c r="U28" s="139" t="s">
        <v>301</v>
      </c>
      <c r="V28" s="139" t="s">
        <v>301</v>
      </c>
      <c r="W28" s="139" t="s">
        <v>301</v>
      </c>
      <c r="X28" s="139" t="s">
        <v>301</v>
      </c>
      <c r="Y28" s="139" t="s">
        <v>301</v>
      </c>
      <c r="Z28" s="139" t="s">
        <v>301</v>
      </c>
    </row>
    <row r="29" spans="1:28" x14ac:dyDescent="0.25">
      <c r="A29" s="139" t="s">
        <v>361</v>
      </c>
      <c r="B29" s="139" t="s">
        <v>367</v>
      </c>
      <c r="C29" s="139" t="s">
        <v>301</v>
      </c>
      <c r="D29" s="139" t="s">
        <v>301</v>
      </c>
      <c r="E29" s="139" t="s">
        <v>301</v>
      </c>
      <c r="F29" s="139" t="s">
        <v>301</v>
      </c>
      <c r="G29" s="139" t="s">
        <v>301</v>
      </c>
      <c r="H29" s="139" t="s">
        <v>301</v>
      </c>
      <c r="I29" s="139" t="s">
        <v>301</v>
      </c>
      <c r="J29" s="139" t="s">
        <v>301</v>
      </c>
      <c r="K29" s="140" t="s">
        <v>368</v>
      </c>
      <c r="L29" s="139" t="s">
        <v>301</v>
      </c>
      <c r="M29" s="139" t="s">
        <v>301</v>
      </c>
      <c r="N29" s="139" t="s">
        <v>301</v>
      </c>
      <c r="O29" s="139" t="s">
        <v>301</v>
      </c>
      <c r="P29" s="139" t="s">
        <v>301</v>
      </c>
      <c r="Q29" s="139" t="s">
        <v>301</v>
      </c>
      <c r="R29" s="139" t="s">
        <v>301</v>
      </c>
      <c r="S29" s="139" t="s">
        <v>301</v>
      </c>
      <c r="T29" s="139" t="s">
        <v>301</v>
      </c>
      <c r="U29" s="139" t="s">
        <v>301</v>
      </c>
      <c r="V29" s="139" t="s">
        <v>301</v>
      </c>
      <c r="W29" s="139" t="s">
        <v>301</v>
      </c>
      <c r="X29" s="139" t="s">
        <v>301</v>
      </c>
      <c r="Y29" s="139" t="s">
        <v>301</v>
      </c>
      <c r="Z29" s="139" t="s">
        <v>301</v>
      </c>
    </row>
    <row r="30" spans="1:28" x14ac:dyDescent="0.25">
      <c r="A30" s="139" t="s">
        <v>361</v>
      </c>
      <c r="B30" s="139" t="s">
        <v>369</v>
      </c>
      <c r="C30" s="139" t="s">
        <v>301</v>
      </c>
      <c r="D30" s="139" t="s">
        <v>301</v>
      </c>
      <c r="E30" s="139" t="s">
        <v>301</v>
      </c>
      <c r="F30" s="139" t="s">
        <v>301</v>
      </c>
      <c r="G30" s="139" t="s">
        <v>301</v>
      </c>
      <c r="H30" s="139" t="s">
        <v>301</v>
      </c>
      <c r="I30" s="139" t="s">
        <v>301</v>
      </c>
      <c r="J30" s="139" t="s">
        <v>301</v>
      </c>
      <c r="K30" s="140" t="s">
        <v>370</v>
      </c>
      <c r="L30" s="139" t="s">
        <v>301</v>
      </c>
      <c r="M30" s="139" t="s">
        <v>301</v>
      </c>
      <c r="N30" s="139" t="s">
        <v>301</v>
      </c>
      <c r="O30" s="139" t="s">
        <v>301</v>
      </c>
      <c r="P30" s="139" t="s">
        <v>301</v>
      </c>
      <c r="Q30" s="139" t="s">
        <v>301</v>
      </c>
      <c r="R30" s="139" t="s">
        <v>301</v>
      </c>
      <c r="S30" s="139" t="s">
        <v>301</v>
      </c>
      <c r="T30" s="139" t="s">
        <v>301</v>
      </c>
      <c r="U30" s="139" t="s">
        <v>301</v>
      </c>
      <c r="V30" s="139" t="s">
        <v>301</v>
      </c>
      <c r="W30" s="139" t="s">
        <v>301</v>
      </c>
      <c r="X30" s="139" t="s">
        <v>301</v>
      </c>
      <c r="Y30" s="139" t="s">
        <v>301</v>
      </c>
      <c r="Z30" s="139" t="s">
        <v>301</v>
      </c>
    </row>
    <row r="31" spans="1:28" x14ac:dyDescent="0.25">
      <c r="A31" s="139" t="s">
        <v>366</v>
      </c>
      <c r="B31" s="139" t="s">
        <v>366</v>
      </c>
      <c r="C31" s="139" t="s">
        <v>366</v>
      </c>
      <c r="D31" s="139" t="s">
        <v>366</v>
      </c>
      <c r="E31" s="139" t="s">
        <v>366</v>
      </c>
      <c r="F31" s="139" t="s">
        <v>366</v>
      </c>
      <c r="G31" s="139" t="s">
        <v>366</v>
      </c>
      <c r="H31" s="139" t="s">
        <v>366</v>
      </c>
      <c r="I31" s="139" t="s">
        <v>366</v>
      </c>
      <c r="J31" s="139" t="s">
        <v>366</v>
      </c>
      <c r="K31" s="139" t="s">
        <v>366</v>
      </c>
      <c r="L31" s="139" t="s">
        <v>301</v>
      </c>
      <c r="M31" s="139" t="s">
        <v>301</v>
      </c>
      <c r="N31" s="139" t="s">
        <v>301</v>
      </c>
      <c r="O31" s="139" t="s">
        <v>301</v>
      </c>
      <c r="P31" s="139" t="s">
        <v>301</v>
      </c>
      <c r="Q31" s="139" t="s">
        <v>301</v>
      </c>
      <c r="R31" s="139" t="s">
        <v>301</v>
      </c>
      <c r="S31" s="139" t="s">
        <v>301</v>
      </c>
      <c r="T31" s="139" t="s">
        <v>301</v>
      </c>
      <c r="U31" s="139" t="s">
        <v>301</v>
      </c>
      <c r="V31" s="139" t="s">
        <v>301</v>
      </c>
      <c r="W31" s="139" t="s">
        <v>301</v>
      </c>
      <c r="X31" s="139" t="s">
        <v>301</v>
      </c>
      <c r="Y31" s="139" t="s">
        <v>301</v>
      </c>
      <c r="Z31" s="139" t="s">
        <v>301</v>
      </c>
    </row>
    <row r="32" spans="1:28" ht="30" x14ac:dyDescent="0.25">
      <c r="A32" s="72" t="s">
        <v>351</v>
      </c>
      <c r="B32" s="72"/>
      <c r="C32" s="138" t="s">
        <v>371</v>
      </c>
      <c r="D32" s="138" t="s">
        <v>372</v>
      </c>
      <c r="E32" s="138" t="s">
        <v>373</v>
      </c>
      <c r="F32" s="138" t="s">
        <v>374</v>
      </c>
      <c r="G32" s="138" t="s">
        <v>375</v>
      </c>
      <c r="H32" s="138" t="s">
        <v>334</v>
      </c>
      <c r="I32" s="138" t="s">
        <v>376</v>
      </c>
      <c r="J32" s="138" t="s">
        <v>377</v>
      </c>
      <c r="K32" s="139"/>
      <c r="L32" s="139" t="s">
        <v>301</v>
      </c>
      <c r="M32" s="139" t="s">
        <v>301</v>
      </c>
      <c r="N32" s="139" t="s">
        <v>301</v>
      </c>
      <c r="O32" s="139" t="s">
        <v>301</v>
      </c>
      <c r="P32" s="139" t="s">
        <v>301</v>
      </c>
      <c r="Q32" s="139" t="s">
        <v>301</v>
      </c>
      <c r="R32" s="139" t="s">
        <v>301</v>
      </c>
      <c r="S32" s="139" t="s">
        <v>301</v>
      </c>
      <c r="T32" s="139" t="s">
        <v>301</v>
      </c>
      <c r="U32" s="139" t="s">
        <v>301</v>
      </c>
      <c r="V32" s="139" t="s">
        <v>301</v>
      </c>
      <c r="W32" s="139" t="s">
        <v>301</v>
      </c>
      <c r="X32" s="139" t="s">
        <v>301</v>
      </c>
      <c r="Y32" s="139" t="s">
        <v>301</v>
      </c>
      <c r="Z32" s="139" t="s">
        <v>301</v>
      </c>
    </row>
    <row r="33" spans="1:26" x14ac:dyDescent="0.25">
      <c r="A33" s="139" t="s">
        <v>366</v>
      </c>
      <c r="B33" s="139" t="s">
        <v>366</v>
      </c>
      <c r="C33" s="139" t="s">
        <v>366</v>
      </c>
      <c r="D33" s="139" t="s">
        <v>366</v>
      </c>
      <c r="E33" s="139" t="s">
        <v>366</v>
      </c>
      <c r="F33" s="139" t="s">
        <v>366</v>
      </c>
      <c r="G33" s="139" t="s">
        <v>366</v>
      </c>
      <c r="H33" s="139" t="s">
        <v>366</v>
      </c>
      <c r="I33" s="139" t="s">
        <v>366</v>
      </c>
      <c r="J33" s="139" t="s">
        <v>366</v>
      </c>
      <c r="K33" s="139" t="s">
        <v>366</v>
      </c>
      <c r="L33" s="139" t="s">
        <v>301</v>
      </c>
      <c r="M33" s="139" t="s">
        <v>301</v>
      </c>
      <c r="N33" s="139" t="s">
        <v>301</v>
      </c>
      <c r="O33" s="139" t="s">
        <v>301</v>
      </c>
      <c r="P33" s="139" t="s">
        <v>301</v>
      </c>
      <c r="Q33" s="139" t="s">
        <v>301</v>
      </c>
      <c r="R33" s="139" t="s">
        <v>301</v>
      </c>
      <c r="S33" s="139" t="s">
        <v>301</v>
      </c>
      <c r="T33" s="139" t="s">
        <v>301</v>
      </c>
      <c r="U33" s="139" t="s">
        <v>301</v>
      </c>
      <c r="V33" s="139" t="s">
        <v>301</v>
      </c>
      <c r="W33" s="139" t="s">
        <v>301</v>
      </c>
      <c r="X33" s="139" t="s">
        <v>301</v>
      </c>
      <c r="Y33" s="139" t="s">
        <v>301</v>
      </c>
      <c r="Z33" s="139" t="s">
        <v>301</v>
      </c>
    </row>
    <row r="37" spans="1:26" x14ac:dyDescent="0.25">
      <c r="A37" s="143"/>
    </row>
  </sheetData>
  <mergeCells count="20">
    <mergeCell ref="A13:T13"/>
    <mergeCell ref="A14:T14"/>
    <mergeCell ref="A23:L23"/>
    <mergeCell ref="M23:Z23"/>
    <mergeCell ref="A17:Z17"/>
    <mergeCell ref="A18:Z18"/>
    <mergeCell ref="A19:Z19"/>
    <mergeCell ref="A20:Z20"/>
    <mergeCell ref="A21:Z21"/>
    <mergeCell ref="A22:Z22"/>
    <mergeCell ref="A15:T15"/>
    <mergeCell ref="A16:Z16"/>
    <mergeCell ref="A10:T10"/>
    <mergeCell ref="A11:T11"/>
    <mergeCell ref="A12:T12"/>
    <mergeCell ref="A4:T4"/>
    <mergeCell ref="A6:T6"/>
    <mergeCell ref="A7:T7"/>
    <mergeCell ref="A8:T8"/>
    <mergeCell ref="A9:T9"/>
  </mergeCells>
  <phoneticPr fontId="46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3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48" t="str">
        <f>'1. паспорт местоположение'!$A$5</f>
        <v>Год раскрытия информации: 2019 год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</row>
    <row r="7" spans="1:20" s="10" customFormat="1" ht="15.75" x14ac:dyDescent="0.2">
      <c r="A7" s="15"/>
      <c r="H7" s="14"/>
    </row>
    <row r="8" spans="1:20" s="10" customFormat="1" ht="18.75" x14ac:dyDescent="0.2">
      <c r="A8" s="252" t="s">
        <v>5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</row>
    <row r="9" spans="1:20" s="10" customFormat="1" ht="18.75" x14ac:dyDescent="0.2">
      <c r="A9" s="252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2"/>
    </row>
    <row r="10" spans="1:20" s="10" customFormat="1" ht="18.75" customHeight="1" x14ac:dyDescent="0.2">
      <c r="A10" s="253" t="s">
        <v>294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</row>
    <row r="11" spans="1:20" s="10" customFormat="1" ht="18.75" customHeight="1" x14ac:dyDescent="0.2">
      <c r="A11" s="249" t="s">
        <v>4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</row>
    <row r="12" spans="1:20" s="10" customFormat="1" ht="18.75" x14ac:dyDescent="0.2">
      <c r="A12" s="252"/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</row>
    <row r="13" spans="1:20" s="10" customFormat="1" ht="18.75" customHeight="1" x14ac:dyDescent="0.2">
      <c r="A13" s="253" t="str">
        <f>'1. паспорт местоположение'!A12:C12</f>
        <v>I_Che152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</row>
    <row r="14" spans="1:20" s="10" customFormat="1" ht="18.75" customHeight="1" x14ac:dyDescent="0.2">
      <c r="A14" s="249" t="s">
        <v>3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</row>
    <row r="15" spans="1:20" s="7" customFormat="1" ht="15.75" customHeight="1" x14ac:dyDescent="0.2">
      <c r="A15" s="258"/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</row>
    <row r="16" spans="1:20" s="2" customFormat="1" ht="91.5" customHeight="1" x14ac:dyDescent="0.2">
      <c r="A16" s="278" t="str">
        <f>'1. паспорт местоположение'!A15:C15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6" s="278"/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</row>
    <row r="17" spans="1:20" s="2" customFormat="1" ht="15" customHeight="1" x14ac:dyDescent="0.2">
      <c r="A17" s="249" t="s">
        <v>2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</row>
    <row r="18" spans="1:20" ht="96" customHeight="1" x14ac:dyDescent="0.25">
      <c r="A18" s="297" t="s">
        <v>378</v>
      </c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297"/>
    </row>
    <row r="19" spans="1:20" ht="15.75" customHeight="1" x14ac:dyDescent="0.25">
      <c r="A19" s="256" t="s">
        <v>1</v>
      </c>
      <c r="B19" s="256" t="s">
        <v>379</v>
      </c>
      <c r="C19" s="256" t="s">
        <v>380</v>
      </c>
      <c r="D19" s="256" t="s">
        <v>381</v>
      </c>
      <c r="E19" s="294" t="s">
        <v>382</v>
      </c>
      <c r="F19" s="295"/>
      <c r="G19" s="295"/>
      <c r="H19" s="295"/>
      <c r="I19" s="296"/>
      <c r="J19" s="294" t="s">
        <v>383</v>
      </c>
      <c r="K19" s="295"/>
      <c r="L19" s="295"/>
      <c r="M19" s="295"/>
      <c r="N19" s="295"/>
      <c r="O19" s="296"/>
    </row>
    <row r="20" spans="1:20" ht="123" customHeight="1" x14ac:dyDescent="0.25">
      <c r="A20" s="256"/>
      <c r="B20" s="256"/>
      <c r="C20" s="256"/>
      <c r="D20" s="256"/>
      <c r="E20" s="125" t="s">
        <v>384</v>
      </c>
      <c r="F20" s="125" t="s">
        <v>385</v>
      </c>
      <c r="G20" s="125" t="s">
        <v>386</v>
      </c>
      <c r="H20" s="125" t="s">
        <v>387</v>
      </c>
      <c r="I20" s="125" t="s">
        <v>388</v>
      </c>
      <c r="J20" s="125" t="s">
        <v>389</v>
      </c>
      <c r="K20" s="125" t="s">
        <v>390</v>
      </c>
      <c r="L20" s="144" t="s">
        <v>391</v>
      </c>
      <c r="M20" s="145" t="s">
        <v>392</v>
      </c>
      <c r="N20" s="145" t="s">
        <v>393</v>
      </c>
      <c r="O20" s="145" t="s">
        <v>394</v>
      </c>
    </row>
    <row r="21" spans="1:20" ht="15.75" x14ac:dyDescent="0.25">
      <c r="A21" s="31">
        <v>1</v>
      </c>
      <c r="B21" s="32">
        <v>2</v>
      </c>
      <c r="C21" s="31">
        <v>3</v>
      </c>
      <c r="D21" s="32">
        <v>4</v>
      </c>
      <c r="E21" s="31">
        <v>5</v>
      </c>
      <c r="F21" s="32">
        <v>6</v>
      </c>
      <c r="G21" s="31">
        <v>7</v>
      </c>
      <c r="H21" s="32">
        <v>8</v>
      </c>
      <c r="I21" s="31">
        <v>9</v>
      </c>
      <c r="J21" s="32">
        <v>10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</row>
    <row r="22" spans="1:20" ht="15.75" x14ac:dyDescent="0.25">
      <c r="A22" s="146" t="s">
        <v>301</v>
      </c>
      <c r="B22" s="146" t="s">
        <v>301</v>
      </c>
      <c r="C22" s="146" t="s">
        <v>301</v>
      </c>
      <c r="D22" s="146" t="s">
        <v>301</v>
      </c>
      <c r="E22" s="146" t="s">
        <v>301</v>
      </c>
      <c r="F22" s="146" t="s">
        <v>301</v>
      </c>
      <c r="G22" s="146" t="s">
        <v>301</v>
      </c>
      <c r="H22" s="146" t="s">
        <v>301</v>
      </c>
      <c r="I22" s="146" t="s">
        <v>301</v>
      </c>
      <c r="J22" s="146" t="s">
        <v>301</v>
      </c>
      <c r="K22" s="146" t="s">
        <v>301</v>
      </c>
      <c r="L22" s="146" t="s">
        <v>301</v>
      </c>
      <c r="M22" s="146" t="s">
        <v>301</v>
      </c>
      <c r="N22" s="146" t="s">
        <v>301</v>
      </c>
      <c r="O22" s="146" t="s">
        <v>301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5:T15"/>
    <mergeCell ref="A16:T16"/>
    <mergeCell ref="E19:I19"/>
    <mergeCell ref="J19:O19"/>
    <mergeCell ref="A19:A20"/>
    <mergeCell ref="B19:B20"/>
    <mergeCell ref="C19:C20"/>
    <mergeCell ref="D19:D20"/>
    <mergeCell ref="A17:T17"/>
    <mergeCell ref="A18:O18"/>
    <mergeCell ref="A13:T13"/>
    <mergeCell ref="A14:T14"/>
    <mergeCell ref="A6:T6"/>
    <mergeCell ref="A8:T8"/>
    <mergeCell ref="A9:T9"/>
    <mergeCell ref="A10:T10"/>
    <mergeCell ref="A11:T11"/>
    <mergeCell ref="A12:T12"/>
  </mergeCells>
  <phoneticPr fontId="4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workbookViewId="0">
      <selection activeCell="B24" sqref="B24:E24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8" ht="18.75" x14ac:dyDescent="0.25">
      <c r="A1" s="103"/>
      <c r="B1" s="14"/>
      <c r="C1" s="14"/>
      <c r="D1" s="14"/>
      <c r="E1" s="14"/>
      <c r="F1" s="104" t="s">
        <v>22</v>
      </c>
    </row>
    <row r="2" spans="1:8" ht="18.75" x14ac:dyDescent="0.3">
      <c r="A2" s="103"/>
      <c r="B2" s="14"/>
      <c r="C2" s="14"/>
      <c r="D2" s="14"/>
      <c r="E2" s="14"/>
      <c r="F2" s="105" t="s">
        <v>6</v>
      </c>
    </row>
    <row r="3" spans="1:8" ht="18.75" x14ac:dyDescent="0.3">
      <c r="A3" s="106"/>
      <c r="B3" s="14"/>
      <c r="C3" s="14"/>
      <c r="D3" s="14"/>
      <c r="E3" s="14"/>
      <c r="F3" s="105" t="s">
        <v>21</v>
      </c>
    </row>
    <row r="4" spans="1:8" ht="15.75" x14ac:dyDescent="0.25">
      <c r="A4" s="106"/>
      <c r="B4" s="14"/>
      <c r="C4" s="14"/>
      <c r="D4" s="14"/>
      <c r="E4" s="14"/>
      <c r="F4" s="14"/>
    </row>
    <row r="5" spans="1:8" ht="15.75" x14ac:dyDescent="0.25">
      <c r="A5" s="248" t="str">
        <f>'1. паспорт местоположение'!$A$5</f>
        <v>Год раскрытия информации: 2019 год</v>
      </c>
      <c r="B5" s="248"/>
      <c r="C5" s="248"/>
      <c r="D5" s="248"/>
      <c r="E5" s="248"/>
      <c r="F5" s="248"/>
    </row>
    <row r="6" spans="1:8" ht="15.75" x14ac:dyDescent="0.25">
      <c r="A6" s="107"/>
      <c r="B6" s="108"/>
      <c r="C6" s="108"/>
      <c r="D6" s="108"/>
      <c r="E6" s="108"/>
      <c r="F6" s="108"/>
    </row>
    <row r="7" spans="1:8" ht="18.75" x14ac:dyDescent="0.25">
      <c r="A7" s="306" t="s">
        <v>5</v>
      </c>
      <c r="B7" s="306"/>
      <c r="C7" s="306"/>
      <c r="D7" s="306"/>
      <c r="E7" s="306"/>
      <c r="F7" s="306"/>
    </row>
    <row r="8" spans="1:8" ht="18.75" x14ac:dyDescent="0.25">
      <c r="A8" s="109"/>
      <c r="B8" s="109"/>
      <c r="C8" s="109"/>
      <c r="D8" s="109"/>
      <c r="E8" s="109"/>
      <c r="F8" s="109"/>
    </row>
    <row r="9" spans="1:8" ht="15.75" x14ac:dyDescent="0.25">
      <c r="A9" s="255" t="s">
        <v>281</v>
      </c>
      <c r="B9" s="255"/>
      <c r="C9" s="255"/>
      <c r="D9" s="255"/>
      <c r="E9" s="255"/>
      <c r="F9" s="255"/>
    </row>
    <row r="10" spans="1:8" ht="15.75" x14ac:dyDescent="0.25">
      <c r="A10" s="301" t="s">
        <v>4</v>
      </c>
      <c r="B10" s="301"/>
      <c r="C10" s="301"/>
      <c r="D10" s="301"/>
      <c r="E10" s="301"/>
      <c r="F10" s="301"/>
    </row>
    <row r="11" spans="1:8" ht="18.75" x14ac:dyDescent="0.25">
      <c r="A11" s="109"/>
      <c r="B11" s="109"/>
      <c r="C11" s="109"/>
      <c r="D11" s="109"/>
      <c r="E11" s="109"/>
      <c r="F11" s="109"/>
    </row>
    <row r="12" spans="1:8" ht="15.75" x14ac:dyDescent="0.25">
      <c r="A12" s="255" t="str">
        <f>'1. паспорт местоположение'!$A$12</f>
        <v>I_Che152</v>
      </c>
      <c r="B12" s="255"/>
      <c r="C12" s="255"/>
      <c r="D12" s="255"/>
      <c r="E12" s="255"/>
      <c r="F12" s="255"/>
    </row>
    <row r="13" spans="1:8" ht="15.75" x14ac:dyDescent="0.25">
      <c r="A13" s="301" t="s">
        <v>3</v>
      </c>
      <c r="B13" s="301"/>
      <c r="C13" s="301"/>
      <c r="D13" s="301"/>
      <c r="E13" s="301"/>
      <c r="F13" s="301"/>
    </row>
    <row r="14" spans="1:8" ht="18.75" x14ac:dyDescent="0.25">
      <c r="A14" s="8"/>
      <c r="B14" s="8"/>
      <c r="C14" s="8"/>
      <c r="D14" s="8"/>
      <c r="E14" s="8"/>
      <c r="F14" s="8"/>
    </row>
    <row r="15" spans="1:8" ht="91.5" customHeight="1" x14ac:dyDescent="0.25">
      <c r="A15" s="254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5" s="254"/>
      <c r="C15" s="254"/>
      <c r="D15" s="254"/>
      <c r="E15" s="254"/>
      <c r="F15" s="254"/>
      <c r="G15" s="254"/>
      <c r="H15" s="254"/>
    </row>
    <row r="16" spans="1:8" ht="15.75" x14ac:dyDescent="0.25">
      <c r="A16" s="301" t="s">
        <v>2</v>
      </c>
      <c r="B16" s="301"/>
      <c r="C16" s="301"/>
      <c r="D16" s="301"/>
      <c r="E16" s="301"/>
      <c r="F16" s="301"/>
    </row>
    <row r="17" spans="1:6" ht="18.75" x14ac:dyDescent="0.25">
      <c r="A17" s="110"/>
      <c r="B17" s="110"/>
      <c r="C17" s="110"/>
      <c r="D17" s="110"/>
      <c r="E17" s="110"/>
      <c r="F17" s="110"/>
    </row>
    <row r="18" spans="1:6" ht="18.75" x14ac:dyDescent="0.25">
      <c r="A18" s="302" t="s">
        <v>282</v>
      </c>
      <c r="B18" s="302"/>
      <c r="C18" s="302"/>
      <c r="D18" s="302"/>
      <c r="E18" s="302"/>
      <c r="F18" s="302"/>
    </row>
    <row r="19" spans="1:6" x14ac:dyDescent="0.25">
      <c r="A19" s="111"/>
      <c r="B19" s="111"/>
      <c r="C19" s="111"/>
      <c r="D19" s="111"/>
      <c r="E19" s="111"/>
      <c r="F19" s="111"/>
    </row>
    <row r="20" spans="1:6" ht="15.75" thickBot="1" x14ac:dyDescent="0.3">
      <c r="A20" s="111"/>
      <c r="B20" s="111"/>
      <c r="C20" s="111"/>
      <c r="D20" s="111"/>
      <c r="E20" s="111"/>
      <c r="F20" s="111"/>
    </row>
    <row r="21" spans="1:6" ht="15.75" x14ac:dyDescent="0.25">
      <c r="A21" s="111"/>
      <c r="B21" s="303" t="s">
        <v>283</v>
      </c>
      <c r="C21" s="304"/>
      <c r="D21" s="304"/>
      <c r="E21" s="305"/>
      <c r="F21" s="111"/>
    </row>
    <row r="22" spans="1:6" ht="15.75" x14ac:dyDescent="0.25">
      <c r="A22" s="111"/>
      <c r="B22" s="298" t="s">
        <v>284</v>
      </c>
      <c r="C22" s="299"/>
      <c r="D22" s="299" t="s">
        <v>285</v>
      </c>
      <c r="E22" s="300"/>
      <c r="F22" s="111"/>
    </row>
    <row r="23" spans="1:6" ht="63" x14ac:dyDescent="0.25">
      <c r="A23" s="111"/>
      <c r="B23" s="112" t="s">
        <v>286</v>
      </c>
      <c r="C23" s="113" t="s">
        <v>287</v>
      </c>
      <c r="D23" s="113" t="s">
        <v>288</v>
      </c>
      <c r="E23" s="114" t="s">
        <v>289</v>
      </c>
      <c r="F23" s="111"/>
    </row>
    <row r="24" spans="1:6" ht="15.75" x14ac:dyDescent="0.25">
      <c r="A24" s="111"/>
      <c r="B24" s="115">
        <v>33.984000000000002</v>
      </c>
      <c r="C24" s="117">
        <v>0.17</v>
      </c>
      <c r="D24" s="116">
        <v>10</v>
      </c>
      <c r="E24" s="116">
        <v>15</v>
      </c>
      <c r="F24" s="111"/>
    </row>
    <row r="25" spans="1:6" x14ac:dyDescent="0.25">
      <c r="A25" s="111"/>
      <c r="B25" s="111"/>
      <c r="C25" s="111"/>
      <c r="D25" s="111"/>
      <c r="E25" s="111"/>
      <c r="F25" s="111"/>
    </row>
    <row r="26" spans="1:6" x14ac:dyDescent="0.25">
      <c r="A26" s="111"/>
      <c r="B26" s="111"/>
      <c r="C26" s="111"/>
      <c r="D26" s="111"/>
      <c r="E26" s="111"/>
      <c r="F26" s="111"/>
    </row>
    <row r="27" spans="1:6" x14ac:dyDescent="0.25">
      <c r="A27" s="111"/>
      <c r="B27" s="111"/>
      <c r="C27" s="111"/>
      <c r="D27" s="111"/>
      <c r="E27" s="111"/>
      <c r="F27" s="111"/>
    </row>
    <row r="28" spans="1:6" x14ac:dyDescent="0.25">
      <c r="A28" s="111"/>
      <c r="B28" s="111"/>
      <c r="C28" s="111"/>
      <c r="D28" s="111"/>
      <c r="E28" s="111"/>
      <c r="F28" s="111"/>
    </row>
    <row r="29" spans="1:6" x14ac:dyDescent="0.25">
      <c r="A29" s="111"/>
      <c r="B29" s="111"/>
      <c r="C29" s="111"/>
      <c r="D29" s="111"/>
      <c r="E29" s="111"/>
      <c r="F29" s="111"/>
    </row>
    <row r="30" spans="1:6" x14ac:dyDescent="0.25">
      <c r="A30" s="111"/>
      <c r="B30" s="111"/>
      <c r="C30" s="111"/>
      <c r="D30" s="111"/>
      <c r="E30" s="111"/>
      <c r="F30" s="111"/>
    </row>
    <row r="31" spans="1:6" x14ac:dyDescent="0.25">
      <c r="A31" s="111"/>
      <c r="B31" s="111"/>
      <c r="C31" s="111"/>
      <c r="D31" s="111"/>
      <c r="E31" s="111"/>
      <c r="F31" s="111"/>
    </row>
  </sheetData>
  <mergeCells count="12">
    <mergeCell ref="A13:F13"/>
    <mergeCell ref="A5:F5"/>
    <mergeCell ref="A7:F7"/>
    <mergeCell ref="A9:F9"/>
    <mergeCell ref="A10:F10"/>
    <mergeCell ref="A12:F12"/>
    <mergeCell ref="A15:H15"/>
    <mergeCell ref="B22:C22"/>
    <mergeCell ref="D22:E22"/>
    <mergeCell ref="A16:F16"/>
    <mergeCell ref="A18:F18"/>
    <mergeCell ref="B21:E21"/>
  </mergeCells>
  <phoneticPr fontId="4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93"/>
  <sheetViews>
    <sheetView view="pageBreakPreview" topLeftCell="A7" zoomScale="85" zoomScaleNormal="100" zoomScaleSheetLayoutView="85" workbookViewId="0">
      <selection activeCell="G23" sqref="G23"/>
    </sheetView>
  </sheetViews>
  <sheetFormatPr defaultColWidth="0" defaultRowHeight="15.75" x14ac:dyDescent="0.25"/>
  <cols>
    <col min="1" max="1" width="9.140625" style="51" customWidth="1"/>
    <col min="2" max="2" width="37.7109375" style="51" customWidth="1"/>
    <col min="3" max="3" width="12.85546875" style="51" bestFit="1" customWidth="1"/>
    <col min="4" max="4" width="12.85546875" style="51" customWidth="1"/>
    <col min="5" max="6" width="0" style="51" hidden="1" customWidth="1"/>
    <col min="7" max="7" width="13" style="51" customWidth="1"/>
    <col min="8" max="8" width="15.5703125" style="51" customWidth="1"/>
    <col min="9" max="10" width="18.28515625" style="51" customWidth="1"/>
    <col min="11" max="11" width="64.85546875" style="51" customWidth="1"/>
    <col min="12" max="12" width="32.28515625" style="51" customWidth="1"/>
    <col min="13" max="252" width="9.140625" style="51" customWidth="1"/>
    <col min="253" max="253" width="37.7109375" style="51" customWidth="1"/>
    <col min="254" max="254" width="9.140625" style="51" customWidth="1"/>
    <col min="255" max="255" width="12.85546875" style="51" customWidth="1"/>
    <col min="256" max="16384" width="0" style="51" hidden="1"/>
  </cols>
  <sheetData>
    <row r="1" spans="1:44" ht="18.75" x14ac:dyDescent="0.25">
      <c r="L1" s="33" t="s">
        <v>22</v>
      </c>
    </row>
    <row r="2" spans="1:44" ht="18.75" x14ac:dyDescent="0.3">
      <c r="L2" s="13" t="s">
        <v>6</v>
      </c>
    </row>
    <row r="3" spans="1:44" ht="18.75" x14ac:dyDescent="0.3">
      <c r="L3" s="13" t="s">
        <v>21</v>
      </c>
    </row>
    <row r="4" spans="1:44" ht="18.75" x14ac:dyDescent="0.3">
      <c r="K4" s="13"/>
    </row>
    <row r="5" spans="1:44" x14ac:dyDescent="0.25">
      <c r="A5" s="248" t="str">
        <f>'1. паспорт местоположение'!$A$5</f>
        <v>Год раскрытия информации: 2019 год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</row>
    <row r="6" spans="1:44" ht="18.75" x14ac:dyDescent="0.3">
      <c r="K6" s="13"/>
    </row>
    <row r="7" spans="1:44" ht="18.75" x14ac:dyDescent="0.25">
      <c r="A7" s="252" t="s">
        <v>5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44" ht="18.75" x14ac:dyDescent="0.25">
      <c r="A8" s="252"/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</row>
    <row r="9" spans="1:44" x14ac:dyDescent="0.25">
      <c r="A9" s="253" t="s">
        <v>281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</row>
    <row r="10" spans="1:44" x14ac:dyDescent="0.25">
      <c r="A10" s="249" t="s">
        <v>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</row>
    <row r="11" spans="1:44" ht="18.75" x14ac:dyDescent="0.25">
      <c r="A11" s="252"/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</row>
    <row r="12" spans="1:44" x14ac:dyDescent="0.25">
      <c r="A12" s="253" t="str">
        <f>'1. паспорт местоположение'!$A$12</f>
        <v>I_Che152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</row>
    <row r="13" spans="1:44" x14ac:dyDescent="0.25">
      <c r="A13" s="249" t="s">
        <v>3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</row>
    <row r="14" spans="1:44" ht="18.75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</row>
    <row r="15" spans="1:44" ht="93.75" customHeight="1" x14ac:dyDescent="0.25">
      <c r="A15" s="278" t="str">
        <f>'1. паспорт местоположение'!$A$15</f>
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</c>
      <c r="B15" s="278"/>
      <c r="C15" s="278"/>
      <c r="D15" s="278"/>
      <c r="E15" s="278"/>
      <c r="F15" s="278"/>
      <c r="G15" s="278"/>
      <c r="H15" s="278"/>
      <c r="I15" s="278"/>
      <c r="J15" s="278"/>
      <c r="K15" s="278"/>
      <c r="L15" s="278"/>
    </row>
    <row r="16" spans="1:44" x14ac:dyDescent="0.25">
      <c r="A16" s="249" t="s">
        <v>2</v>
      </c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</row>
    <row r="17" spans="1:12" ht="15.75" customHeight="1" x14ac:dyDescent="0.25">
      <c r="L17" s="71"/>
    </row>
    <row r="18" spans="1:12" x14ac:dyDescent="0.25">
      <c r="K18" s="70"/>
    </row>
    <row r="19" spans="1:12" ht="15.75" customHeight="1" x14ac:dyDescent="0.25">
      <c r="A19" s="317" t="s">
        <v>256</v>
      </c>
      <c r="B19" s="317"/>
      <c r="C19" s="317"/>
      <c r="D19" s="317"/>
      <c r="E19" s="317"/>
      <c r="F19" s="317"/>
      <c r="G19" s="317"/>
      <c r="H19" s="317"/>
      <c r="I19" s="317"/>
      <c r="J19" s="317"/>
      <c r="K19" s="317"/>
      <c r="L19" s="317"/>
    </row>
    <row r="20" spans="1:12" x14ac:dyDescent="0.25">
      <c r="A20" s="55"/>
      <c r="B20" s="55"/>
      <c r="C20" s="69"/>
      <c r="D20" s="69"/>
      <c r="E20" s="69"/>
      <c r="F20" s="69"/>
      <c r="G20" s="69"/>
      <c r="H20" s="69"/>
      <c r="I20" s="69"/>
      <c r="J20" s="69"/>
      <c r="K20" s="69"/>
      <c r="L20" s="69"/>
    </row>
    <row r="21" spans="1:12" ht="28.5" customHeight="1" x14ac:dyDescent="0.25">
      <c r="A21" s="307" t="s">
        <v>141</v>
      </c>
      <c r="B21" s="307" t="s">
        <v>140</v>
      </c>
      <c r="C21" s="316" t="s">
        <v>201</v>
      </c>
      <c r="D21" s="316"/>
      <c r="E21" s="316"/>
      <c r="F21" s="316"/>
      <c r="G21" s="316"/>
      <c r="H21" s="316"/>
      <c r="I21" s="312" t="s">
        <v>139</v>
      </c>
      <c r="J21" s="313" t="s">
        <v>203</v>
      </c>
      <c r="K21" s="307" t="s">
        <v>138</v>
      </c>
      <c r="L21" s="310" t="s">
        <v>202</v>
      </c>
    </row>
    <row r="22" spans="1:12" ht="58.5" customHeight="1" x14ac:dyDescent="0.25">
      <c r="A22" s="307"/>
      <c r="B22" s="307"/>
      <c r="C22" s="311" t="s">
        <v>0</v>
      </c>
      <c r="D22" s="311"/>
      <c r="E22" s="86"/>
      <c r="F22" s="87"/>
      <c r="G22" s="308" t="s">
        <v>430</v>
      </c>
      <c r="H22" s="309"/>
      <c r="I22" s="312"/>
      <c r="J22" s="314"/>
      <c r="K22" s="307"/>
      <c r="L22" s="310"/>
    </row>
    <row r="23" spans="1:12" ht="38.25" customHeight="1" x14ac:dyDescent="0.25">
      <c r="A23" s="307"/>
      <c r="B23" s="307"/>
      <c r="C23" s="68" t="s">
        <v>137</v>
      </c>
      <c r="D23" s="68" t="s">
        <v>136</v>
      </c>
      <c r="E23" s="68" t="s">
        <v>137</v>
      </c>
      <c r="F23" s="68" t="s">
        <v>136</v>
      </c>
      <c r="G23" s="68" t="s">
        <v>137</v>
      </c>
      <c r="H23" s="68" t="s">
        <v>136</v>
      </c>
      <c r="I23" s="312"/>
      <c r="J23" s="315"/>
      <c r="K23" s="307"/>
      <c r="L23" s="310"/>
    </row>
    <row r="24" spans="1:12" x14ac:dyDescent="0.25">
      <c r="A24" s="60">
        <v>1</v>
      </c>
      <c r="B24" s="60">
        <v>2</v>
      </c>
      <c r="C24" s="68">
        <v>3</v>
      </c>
      <c r="D24" s="68">
        <v>4</v>
      </c>
      <c r="E24" s="68">
        <v>5</v>
      </c>
      <c r="F24" s="68">
        <v>6</v>
      </c>
      <c r="G24" s="68">
        <v>7</v>
      </c>
      <c r="H24" s="68">
        <v>8</v>
      </c>
      <c r="I24" s="68">
        <v>9</v>
      </c>
      <c r="J24" s="68">
        <v>10</v>
      </c>
      <c r="K24" s="68">
        <v>11</v>
      </c>
      <c r="L24" s="68">
        <v>12</v>
      </c>
    </row>
    <row r="25" spans="1:12" s="162" customFormat="1" ht="31.5" x14ac:dyDescent="0.25">
      <c r="A25" s="157">
        <v>1</v>
      </c>
      <c r="B25" s="158" t="s">
        <v>135</v>
      </c>
      <c r="C25" s="158"/>
      <c r="D25" s="159"/>
      <c r="E25" s="159"/>
      <c r="F25" s="159"/>
      <c r="G25" s="159"/>
      <c r="H25" s="159"/>
      <c r="I25" s="159"/>
      <c r="J25" s="159"/>
      <c r="K25" s="160"/>
      <c r="L25" s="161"/>
    </row>
    <row r="26" spans="1:12" s="162" customFormat="1" ht="21.75" customHeight="1" x14ac:dyDescent="0.25">
      <c r="A26" s="157" t="s">
        <v>134</v>
      </c>
      <c r="B26" s="163" t="s">
        <v>205</v>
      </c>
      <c r="C26" s="96" t="s">
        <v>301</v>
      </c>
      <c r="D26" s="96" t="s">
        <v>301</v>
      </c>
      <c r="E26" s="96" t="s">
        <v>278</v>
      </c>
      <c r="F26" s="96" t="s">
        <v>278</v>
      </c>
      <c r="G26" s="96">
        <v>43159</v>
      </c>
      <c r="H26" s="96">
        <v>43159</v>
      </c>
      <c r="I26" s="179">
        <v>1</v>
      </c>
      <c r="J26" s="179">
        <v>1</v>
      </c>
      <c r="K26" s="160"/>
      <c r="L26" s="160"/>
    </row>
    <row r="27" spans="1:12" s="164" customFormat="1" ht="39" customHeight="1" x14ac:dyDescent="0.25">
      <c r="A27" s="157" t="s">
        <v>133</v>
      </c>
      <c r="B27" s="163" t="s">
        <v>207</v>
      </c>
      <c r="C27" s="96" t="s">
        <v>301</v>
      </c>
      <c r="D27" s="96" t="s">
        <v>301</v>
      </c>
      <c r="E27" s="96" t="s">
        <v>278</v>
      </c>
      <c r="F27" s="96" t="s">
        <v>278</v>
      </c>
      <c r="G27" s="96">
        <v>43159</v>
      </c>
      <c r="H27" s="96">
        <v>43159</v>
      </c>
      <c r="I27" s="179">
        <v>1</v>
      </c>
      <c r="J27" s="179">
        <v>1</v>
      </c>
      <c r="K27" s="160"/>
      <c r="L27" s="160"/>
    </row>
    <row r="28" spans="1:12" s="164" customFormat="1" ht="56.25" customHeight="1" x14ac:dyDescent="0.25">
      <c r="A28" s="157" t="s">
        <v>206</v>
      </c>
      <c r="B28" s="163" t="s">
        <v>211</v>
      </c>
      <c r="C28" s="96" t="s">
        <v>301</v>
      </c>
      <c r="D28" s="96" t="s">
        <v>301</v>
      </c>
      <c r="E28" s="96" t="s">
        <v>278</v>
      </c>
      <c r="F28" s="96" t="s">
        <v>278</v>
      </c>
      <c r="G28" s="96">
        <v>43405</v>
      </c>
      <c r="H28" s="96">
        <v>43405</v>
      </c>
      <c r="I28" s="179">
        <v>0</v>
      </c>
      <c r="J28" s="179">
        <v>0</v>
      </c>
      <c r="K28" s="160"/>
      <c r="L28" s="160"/>
    </row>
    <row r="29" spans="1:12" s="164" customFormat="1" ht="36" customHeight="1" x14ac:dyDescent="0.25">
      <c r="A29" s="157" t="s">
        <v>132</v>
      </c>
      <c r="B29" s="163" t="s">
        <v>210</v>
      </c>
      <c r="C29" s="96" t="s">
        <v>301</v>
      </c>
      <c r="D29" s="96" t="s">
        <v>301</v>
      </c>
      <c r="E29" s="96" t="s">
        <v>278</v>
      </c>
      <c r="F29" s="96" t="s">
        <v>278</v>
      </c>
      <c r="G29" s="96">
        <v>43423</v>
      </c>
      <c r="H29" s="96">
        <v>43423</v>
      </c>
      <c r="I29" s="179">
        <v>0</v>
      </c>
      <c r="J29" s="179">
        <v>0</v>
      </c>
      <c r="K29" s="160"/>
      <c r="L29" s="160"/>
    </row>
    <row r="30" spans="1:12" s="164" customFormat="1" ht="42" customHeight="1" x14ac:dyDescent="0.25">
      <c r="A30" s="157" t="s">
        <v>131</v>
      </c>
      <c r="B30" s="163" t="s">
        <v>212</v>
      </c>
      <c r="C30" s="96" t="s">
        <v>301</v>
      </c>
      <c r="D30" s="96" t="s">
        <v>301</v>
      </c>
      <c r="E30" s="96" t="s">
        <v>301</v>
      </c>
      <c r="F30" s="96" t="s">
        <v>301</v>
      </c>
      <c r="G30" s="96">
        <v>43433</v>
      </c>
      <c r="H30" s="96">
        <v>43433</v>
      </c>
      <c r="I30" s="165">
        <v>0</v>
      </c>
      <c r="J30" s="165">
        <v>0</v>
      </c>
      <c r="K30" s="160"/>
      <c r="L30" s="160"/>
    </row>
    <row r="31" spans="1:12" s="164" customFormat="1" ht="37.5" customHeight="1" x14ac:dyDescent="0.25">
      <c r="A31" s="157" t="s">
        <v>130</v>
      </c>
      <c r="B31" s="166" t="s">
        <v>208</v>
      </c>
      <c r="C31" s="96" t="s">
        <v>301</v>
      </c>
      <c r="D31" s="96" t="s">
        <v>301</v>
      </c>
      <c r="E31" s="96" t="s">
        <v>301</v>
      </c>
      <c r="F31" s="96" t="s">
        <v>301</v>
      </c>
      <c r="G31" s="96">
        <v>43095</v>
      </c>
      <c r="H31" s="96">
        <v>43095</v>
      </c>
      <c r="I31" s="165">
        <v>1</v>
      </c>
      <c r="J31" s="165">
        <v>1</v>
      </c>
      <c r="K31" s="160"/>
      <c r="L31" s="160"/>
    </row>
    <row r="32" spans="1:12" s="164" customFormat="1" ht="42.75" customHeight="1" x14ac:dyDescent="0.25">
      <c r="A32" s="157" t="s">
        <v>128</v>
      </c>
      <c r="B32" s="166" t="s">
        <v>213</v>
      </c>
      <c r="C32" s="96" t="s">
        <v>301</v>
      </c>
      <c r="D32" s="96" t="s">
        <v>301</v>
      </c>
      <c r="E32" s="96" t="s">
        <v>301</v>
      </c>
      <c r="F32" s="96" t="s">
        <v>301</v>
      </c>
      <c r="G32" s="96">
        <v>43332</v>
      </c>
      <c r="H32" s="96">
        <v>43332</v>
      </c>
      <c r="I32" s="165">
        <v>0</v>
      </c>
      <c r="J32" s="165">
        <v>0</v>
      </c>
      <c r="K32" s="160"/>
      <c r="L32" s="160"/>
    </row>
    <row r="33" spans="1:12" s="164" customFormat="1" ht="50.25" customHeight="1" x14ac:dyDescent="0.25">
      <c r="A33" s="157" t="s">
        <v>224</v>
      </c>
      <c r="B33" s="166" t="s">
        <v>156</v>
      </c>
      <c r="C33" s="96" t="s">
        <v>301</v>
      </c>
      <c r="D33" s="96" t="s">
        <v>301</v>
      </c>
      <c r="E33" s="96" t="s">
        <v>301</v>
      </c>
      <c r="F33" s="96" t="s">
        <v>301</v>
      </c>
      <c r="G33" s="96">
        <v>43357</v>
      </c>
      <c r="H33" s="96">
        <v>43357</v>
      </c>
      <c r="I33" s="165">
        <v>0</v>
      </c>
      <c r="J33" s="165">
        <v>0</v>
      </c>
      <c r="K33" s="160"/>
      <c r="L33" s="160"/>
    </row>
    <row r="34" spans="1:12" s="164" customFormat="1" ht="47.25" customHeight="1" x14ac:dyDescent="0.25">
      <c r="A34" s="157" t="s">
        <v>225</v>
      </c>
      <c r="B34" s="166" t="s">
        <v>217</v>
      </c>
      <c r="C34" s="96" t="s">
        <v>301</v>
      </c>
      <c r="D34" s="96" t="s">
        <v>301</v>
      </c>
      <c r="E34" s="96" t="s">
        <v>301</v>
      </c>
      <c r="F34" s="96" t="s">
        <v>301</v>
      </c>
      <c r="G34" s="96" t="s">
        <v>278</v>
      </c>
      <c r="H34" s="96" t="s">
        <v>278</v>
      </c>
      <c r="I34" s="167"/>
      <c r="J34" s="167"/>
      <c r="K34" s="167"/>
      <c r="L34" s="160"/>
    </row>
    <row r="35" spans="1:12" s="164" customFormat="1" ht="49.5" customHeight="1" x14ac:dyDescent="0.25">
      <c r="A35" s="157" t="s">
        <v>226</v>
      </c>
      <c r="B35" s="166" t="s">
        <v>129</v>
      </c>
      <c r="C35" s="96" t="s">
        <v>301</v>
      </c>
      <c r="D35" s="96" t="s">
        <v>301</v>
      </c>
      <c r="E35" s="96" t="s">
        <v>301</v>
      </c>
      <c r="F35" s="96" t="s">
        <v>301</v>
      </c>
      <c r="G35" s="96">
        <v>43360</v>
      </c>
      <c r="H35" s="96">
        <v>43360</v>
      </c>
      <c r="I35" s="165">
        <v>0</v>
      </c>
      <c r="J35" s="165">
        <v>0</v>
      </c>
      <c r="K35" s="167"/>
      <c r="L35" s="160"/>
    </row>
    <row r="36" spans="1:12" s="162" customFormat="1" ht="37.5" customHeight="1" x14ac:dyDescent="0.25">
      <c r="A36" s="157" t="s">
        <v>227</v>
      </c>
      <c r="B36" s="166" t="s">
        <v>209</v>
      </c>
      <c r="C36" s="96" t="s">
        <v>301</v>
      </c>
      <c r="D36" s="96" t="s">
        <v>301</v>
      </c>
      <c r="E36" s="96" t="s">
        <v>301</v>
      </c>
      <c r="F36" s="96" t="s">
        <v>301</v>
      </c>
      <c r="G36" s="96">
        <v>43434</v>
      </c>
      <c r="H36" s="96">
        <v>43434</v>
      </c>
      <c r="I36" s="165">
        <v>0</v>
      </c>
      <c r="J36" s="165">
        <v>0</v>
      </c>
      <c r="K36" s="160"/>
      <c r="L36" s="160"/>
    </row>
    <row r="37" spans="1:12" s="162" customFormat="1" ht="21.75" customHeight="1" x14ac:dyDescent="0.25">
      <c r="A37" s="157" t="s">
        <v>228</v>
      </c>
      <c r="B37" s="166" t="s">
        <v>127</v>
      </c>
      <c r="C37" s="96" t="s">
        <v>301</v>
      </c>
      <c r="D37" s="96" t="s">
        <v>301</v>
      </c>
      <c r="E37" s="96" t="s">
        <v>301</v>
      </c>
      <c r="F37" s="96" t="s">
        <v>301</v>
      </c>
      <c r="G37" s="96">
        <v>43332</v>
      </c>
      <c r="H37" s="96">
        <v>43332</v>
      </c>
      <c r="I37" s="165">
        <v>0</v>
      </c>
      <c r="J37" s="165">
        <v>0</v>
      </c>
      <c r="K37" s="160"/>
      <c r="L37" s="160"/>
    </row>
    <row r="38" spans="1:12" s="162" customFormat="1" x14ac:dyDescent="0.25">
      <c r="A38" s="157" t="s">
        <v>229</v>
      </c>
      <c r="B38" s="158" t="s">
        <v>126</v>
      </c>
      <c r="C38" s="96"/>
      <c r="D38" s="96"/>
      <c r="E38" s="160"/>
      <c r="F38" s="160"/>
      <c r="G38" s="67"/>
      <c r="H38" s="160"/>
      <c r="I38" s="160"/>
      <c r="J38" s="160"/>
      <c r="K38" s="160"/>
      <c r="L38" s="160"/>
    </row>
    <row r="39" spans="1:12" s="162" customFormat="1" ht="74.25" customHeight="1" x14ac:dyDescent="0.25">
      <c r="A39" s="157">
        <v>2</v>
      </c>
      <c r="B39" s="166" t="s">
        <v>214</v>
      </c>
      <c r="C39" s="96" t="s">
        <v>301</v>
      </c>
      <c r="D39" s="96" t="s">
        <v>301</v>
      </c>
      <c r="E39" s="95" t="s">
        <v>292</v>
      </c>
      <c r="F39" s="95" t="s">
        <v>292</v>
      </c>
      <c r="G39" s="95">
        <v>43437</v>
      </c>
      <c r="H39" s="95">
        <v>43437</v>
      </c>
      <c r="I39" s="165">
        <v>0</v>
      </c>
      <c r="J39" s="165">
        <v>0</v>
      </c>
      <c r="K39" s="160"/>
      <c r="L39" s="160"/>
    </row>
    <row r="40" spans="1:12" s="162" customFormat="1" ht="33.75" customHeight="1" x14ac:dyDescent="0.25">
      <c r="A40" s="157" t="s">
        <v>125</v>
      </c>
      <c r="B40" s="166" t="s">
        <v>216</v>
      </c>
      <c r="C40" s="96" t="s">
        <v>301</v>
      </c>
      <c r="D40" s="96" t="s">
        <v>301</v>
      </c>
      <c r="E40" s="96" t="s">
        <v>301</v>
      </c>
      <c r="F40" s="96" t="s">
        <v>301</v>
      </c>
      <c r="G40" s="96" t="s">
        <v>278</v>
      </c>
      <c r="H40" s="96" t="s">
        <v>278</v>
      </c>
      <c r="I40" s="165"/>
      <c r="J40" s="165"/>
      <c r="K40" s="160"/>
      <c r="L40" s="160"/>
    </row>
    <row r="41" spans="1:12" s="162" customFormat="1" ht="63" customHeight="1" x14ac:dyDescent="0.25">
      <c r="A41" s="157" t="s">
        <v>124</v>
      </c>
      <c r="B41" s="158" t="s">
        <v>276</v>
      </c>
      <c r="C41" s="96"/>
      <c r="D41" s="96"/>
      <c r="E41" s="160"/>
      <c r="F41" s="160"/>
      <c r="G41" s="160"/>
      <c r="H41" s="160"/>
      <c r="I41" s="168"/>
      <c r="J41" s="168"/>
      <c r="K41" s="160"/>
      <c r="L41" s="160"/>
    </row>
    <row r="42" spans="1:12" s="162" customFormat="1" ht="58.5" customHeight="1" x14ac:dyDescent="0.25">
      <c r="A42" s="157">
        <v>3</v>
      </c>
      <c r="B42" s="166" t="s">
        <v>215</v>
      </c>
      <c r="C42" s="96" t="s">
        <v>301</v>
      </c>
      <c r="D42" s="96" t="s">
        <v>301</v>
      </c>
      <c r="E42" s="96" t="s">
        <v>301</v>
      </c>
      <c r="F42" s="96" t="s">
        <v>301</v>
      </c>
      <c r="G42" s="96">
        <v>43444</v>
      </c>
      <c r="H42" s="96">
        <v>43444</v>
      </c>
      <c r="I42" s="165">
        <v>0</v>
      </c>
      <c r="J42" s="165">
        <v>0</v>
      </c>
      <c r="K42" s="160"/>
      <c r="L42" s="160"/>
    </row>
    <row r="43" spans="1:12" s="162" customFormat="1" ht="34.5" customHeight="1" x14ac:dyDescent="0.25">
      <c r="A43" s="157" t="s">
        <v>123</v>
      </c>
      <c r="B43" s="166" t="s">
        <v>121</v>
      </c>
      <c r="C43" s="96" t="s">
        <v>301</v>
      </c>
      <c r="D43" s="96" t="s">
        <v>301</v>
      </c>
      <c r="E43" s="96" t="s">
        <v>301</v>
      </c>
      <c r="F43" s="96" t="s">
        <v>301</v>
      </c>
      <c r="G43" s="96" t="s">
        <v>278</v>
      </c>
      <c r="H43" s="96" t="s">
        <v>278</v>
      </c>
      <c r="I43" s="165"/>
      <c r="J43" s="165"/>
      <c r="K43" s="160"/>
      <c r="L43" s="160"/>
    </row>
    <row r="44" spans="1:12" s="162" customFormat="1" ht="24.75" customHeight="1" x14ac:dyDescent="0.25">
      <c r="A44" s="157" t="s">
        <v>122</v>
      </c>
      <c r="B44" s="166" t="s">
        <v>119</v>
      </c>
      <c r="C44" s="96" t="s">
        <v>301</v>
      </c>
      <c r="D44" s="96" t="s">
        <v>301</v>
      </c>
      <c r="E44" s="96" t="s">
        <v>301</v>
      </c>
      <c r="F44" s="96" t="s">
        <v>301</v>
      </c>
      <c r="G44" s="96" t="s">
        <v>278</v>
      </c>
      <c r="H44" s="96" t="s">
        <v>278</v>
      </c>
      <c r="I44" s="165"/>
      <c r="J44" s="165"/>
      <c r="K44" s="160"/>
      <c r="L44" s="160"/>
    </row>
    <row r="45" spans="1:12" s="162" customFormat="1" ht="90.75" customHeight="1" x14ac:dyDescent="0.25">
      <c r="A45" s="157" t="s">
        <v>120</v>
      </c>
      <c r="B45" s="166" t="s">
        <v>220</v>
      </c>
      <c r="C45" s="96" t="s">
        <v>301</v>
      </c>
      <c r="D45" s="96" t="s">
        <v>301</v>
      </c>
      <c r="E45" s="96" t="s">
        <v>301</v>
      </c>
      <c r="F45" s="96" t="s">
        <v>301</v>
      </c>
      <c r="G45" s="96">
        <v>43594</v>
      </c>
      <c r="H45" s="96">
        <v>43594</v>
      </c>
      <c r="I45" s="165">
        <v>0</v>
      </c>
      <c r="J45" s="165">
        <v>0</v>
      </c>
      <c r="K45" s="160"/>
      <c r="L45" s="160"/>
    </row>
    <row r="46" spans="1:12" s="162" customFormat="1" ht="167.25" customHeight="1" x14ac:dyDescent="0.25">
      <c r="A46" s="157" t="s">
        <v>118</v>
      </c>
      <c r="B46" s="166" t="s">
        <v>218</v>
      </c>
      <c r="C46" s="96" t="s">
        <v>301</v>
      </c>
      <c r="D46" s="96" t="s">
        <v>301</v>
      </c>
      <c r="E46" s="96" t="s">
        <v>278</v>
      </c>
      <c r="F46" s="96" t="s">
        <v>278</v>
      </c>
      <c r="G46" s="174" t="s">
        <v>278</v>
      </c>
      <c r="H46" s="174" t="s">
        <v>278</v>
      </c>
      <c r="I46" s="168"/>
      <c r="J46" s="168"/>
      <c r="K46" s="160"/>
      <c r="L46" s="160"/>
    </row>
    <row r="47" spans="1:12" s="162" customFormat="1" ht="30.75" customHeight="1" x14ac:dyDescent="0.25">
      <c r="A47" s="157" t="s">
        <v>116</v>
      </c>
      <c r="B47" s="166" t="s">
        <v>117</v>
      </c>
      <c r="C47" s="96" t="s">
        <v>301</v>
      </c>
      <c r="D47" s="96" t="s">
        <v>301</v>
      </c>
      <c r="E47" s="96" t="s">
        <v>301</v>
      </c>
      <c r="F47" s="96" t="s">
        <v>301</v>
      </c>
      <c r="G47" s="96">
        <v>43595</v>
      </c>
      <c r="H47" s="96">
        <v>43615</v>
      </c>
      <c r="I47" s="165">
        <v>0</v>
      </c>
      <c r="J47" s="165">
        <v>0</v>
      </c>
      <c r="K47" s="160"/>
      <c r="L47" s="160"/>
    </row>
    <row r="48" spans="1:12" s="162" customFormat="1" ht="37.5" customHeight="1" x14ac:dyDescent="0.25">
      <c r="A48" s="157" t="s">
        <v>230</v>
      </c>
      <c r="B48" s="158" t="s">
        <v>115</v>
      </c>
      <c r="C48" s="96"/>
      <c r="D48" s="96"/>
      <c r="E48" s="96"/>
      <c r="F48" s="96"/>
      <c r="G48" s="96"/>
      <c r="H48" s="96"/>
      <c r="I48" s="168"/>
      <c r="J48" s="168"/>
      <c r="K48" s="160"/>
      <c r="L48" s="160"/>
    </row>
    <row r="49" spans="1:12" s="162" customFormat="1" ht="35.25" customHeight="1" x14ac:dyDescent="0.25">
      <c r="A49" s="157">
        <v>4</v>
      </c>
      <c r="B49" s="166" t="s">
        <v>113</v>
      </c>
      <c r="C49" s="96" t="s">
        <v>301</v>
      </c>
      <c r="D49" s="96" t="s">
        <v>301</v>
      </c>
      <c r="E49" s="96" t="s">
        <v>301</v>
      </c>
      <c r="F49" s="96" t="s">
        <v>301</v>
      </c>
      <c r="G49" s="96">
        <v>43620</v>
      </c>
      <c r="H49" s="96">
        <v>43621</v>
      </c>
      <c r="I49" s="165">
        <v>0</v>
      </c>
      <c r="J49" s="165">
        <v>0</v>
      </c>
      <c r="K49" s="160"/>
      <c r="L49" s="160"/>
    </row>
    <row r="50" spans="1:12" s="162" customFormat="1" ht="86.25" customHeight="1" x14ac:dyDescent="0.25">
      <c r="A50" s="157" t="s">
        <v>114</v>
      </c>
      <c r="B50" s="166" t="s">
        <v>219</v>
      </c>
      <c r="C50" s="96" t="s">
        <v>301</v>
      </c>
      <c r="D50" s="96" t="s">
        <v>301</v>
      </c>
      <c r="E50" s="96" t="s">
        <v>301</v>
      </c>
      <c r="F50" s="96" t="s">
        <v>301</v>
      </c>
      <c r="G50" s="96">
        <v>43635</v>
      </c>
      <c r="H50" s="96">
        <v>43635</v>
      </c>
      <c r="I50" s="165">
        <v>0</v>
      </c>
      <c r="J50" s="165">
        <v>0</v>
      </c>
      <c r="K50" s="160"/>
      <c r="L50" s="160"/>
    </row>
    <row r="51" spans="1:12" s="162" customFormat="1" ht="77.25" customHeight="1" x14ac:dyDescent="0.25">
      <c r="A51" s="157" t="s">
        <v>112</v>
      </c>
      <c r="B51" s="166" t="s">
        <v>221</v>
      </c>
      <c r="C51" s="96" t="s">
        <v>301</v>
      </c>
      <c r="D51" s="96" t="s">
        <v>301</v>
      </c>
      <c r="E51" s="96" t="s">
        <v>301</v>
      </c>
      <c r="F51" s="96" t="s">
        <v>301</v>
      </c>
      <c r="G51" s="96">
        <v>43626</v>
      </c>
      <c r="H51" s="96">
        <v>43626</v>
      </c>
      <c r="I51" s="165">
        <v>0</v>
      </c>
      <c r="J51" s="165">
        <v>0</v>
      </c>
      <c r="K51" s="160"/>
      <c r="L51" s="160"/>
    </row>
    <row r="52" spans="1:12" s="162" customFormat="1" ht="71.25" customHeight="1" x14ac:dyDescent="0.25">
      <c r="A52" s="157" t="s">
        <v>110</v>
      </c>
      <c r="B52" s="166" t="s">
        <v>111</v>
      </c>
      <c r="C52" s="96" t="s">
        <v>301</v>
      </c>
      <c r="D52" s="96" t="s">
        <v>301</v>
      </c>
      <c r="E52" s="96" t="s">
        <v>278</v>
      </c>
      <c r="F52" s="96" t="s">
        <v>278</v>
      </c>
      <c r="G52" s="96">
        <v>43629</v>
      </c>
      <c r="H52" s="96">
        <v>43629</v>
      </c>
      <c r="I52" s="168">
        <v>0</v>
      </c>
      <c r="J52" s="168">
        <v>0</v>
      </c>
      <c r="K52" s="160"/>
      <c r="L52" s="160"/>
    </row>
    <row r="53" spans="1:12" s="162" customFormat="1" ht="48" customHeight="1" x14ac:dyDescent="0.25">
      <c r="A53" s="157" t="s">
        <v>108</v>
      </c>
      <c r="B53" s="162" t="s">
        <v>222</v>
      </c>
      <c r="C53" s="96" t="s">
        <v>301</v>
      </c>
      <c r="D53" s="96" t="s">
        <v>301</v>
      </c>
      <c r="E53" s="96" t="s">
        <v>301</v>
      </c>
      <c r="F53" s="96" t="s">
        <v>301</v>
      </c>
      <c r="G53" s="96">
        <v>43646</v>
      </c>
      <c r="H53" s="96">
        <v>43646</v>
      </c>
      <c r="I53" s="165">
        <v>0</v>
      </c>
      <c r="J53" s="165">
        <v>0</v>
      </c>
      <c r="K53" s="160"/>
      <c r="L53" s="160"/>
    </row>
    <row r="54" spans="1:12" s="162" customFormat="1" ht="46.5" customHeight="1" x14ac:dyDescent="0.25">
      <c r="A54" s="157" t="s">
        <v>223</v>
      </c>
      <c r="B54" s="166" t="s">
        <v>109</v>
      </c>
      <c r="C54" s="96" t="s">
        <v>301</v>
      </c>
      <c r="D54" s="96" t="s">
        <v>301</v>
      </c>
      <c r="E54" s="96" t="s">
        <v>301</v>
      </c>
      <c r="F54" s="96" t="s">
        <v>301</v>
      </c>
      <c r="G54" s="96">
        <v>43640</v>
      </c>
      <c r="H54" s="96">
        <v>43640</v>
      </c>
      <c r="I54" s="165">
        <v>0</v>
      </c>
      <c r="J54" s="165">
        <v>0</v>
      </c>
      <c r="K54" s="160"/>
      <c r="L54" s="160"/>
    </row>
    <row r="55" spans="1:12" s="162" customFormat="1" x14ac:dyDescent="0.25"/>
    <row r="56" spans="1:12" s="162" customFormat="1" x14ac:dyDescent="0.25"/>
    <row r="57" spans="1:12" s="162" customFormat="1" x14ac:dyDescent="0.25"/>
    <row r="58" spans="1:12" s="162" customFormat="1" x14ac:dyDescent="0.25"/>
    <row r="59" spans="1:12" s="162" customFormat="1" x14ac:dyDescent="0.25"/>
    <row r="60" spans="1:12" s="162" customFormat="1" x14ac:dyDescent="0.25"/>
    <row r="61" spans="1:12" s="162" customFormat="1" x14ac:dyDescent="0.25"/>
    <row r="62" spans="1:12" s="162" customFormat="1" x14ac:dyDescent="0.25"/>
    <row r="63" spans="1:12" s="162" customFormat="1" x14ac:dyDescent="0.25"/>
    <row r="64" spans="1:12" s="162" customFormat="1" x14ac:dyDescent="0.25"/>
    <row r="65" s="162" customFormat="1" x14ac:dyDescent="0.25"/>
    <row r="66" s="162" customFormat="1" x14ac:dyDescent="0.25"/>
    <row r="67" s="162" customFormat="1" x14ac:dyDescent="0.25"/>
    <row r="68" s="162" customFormat="1" x14ac:dyDescent="0.25"/>
    <row r="69" s="162" customFormat="1" x14ac:dyDescent="0.25"/>
    <row r="70" s="162" customFormat="1" x14ac:dyDescent="0.25"/>
    <row r="71" s="162" customFormat="1" x14ac:dyDescent="0.25"/>
    <row r="72" s="162" customFormat="1" x14ac:dyDescent="0.25"/>
    <row r="73" s="162" customFormat="1" x14ac:dyDescent="0.25"/>
    <row r="74" s="162" customFormat="1" x14ac:dyDescent="0.25"/>
    <row r="75" s="162" customFormat="1" x14ac:dyDescent="0.25"/>
    <row r="76" s="162" customFormat="1" x14ac:dyDescent="0.25"/>
    <row r="77" s="162" customFormat="1" x14ac:dyDescent="0.25"/>
    <row r="78" s="162" customFormat="1" x14ac:dyDescent="0.25"/>
    <row r="79" s="162" customFormat="1" x14ac:dyDescent="0.25"/>
    <row r="80" s="162" customFormat="1" x14ac:dyDescent="0.25"/>
    <row r="81" s="162" customFormat="1" x14ac:dyDescent="0.25"/>
    <row r="82" s="162" customFormat="1" x14ac:dyDescent="0.25"/>
    <row r="83" s="162" customFormat="1" x14ac:dyDescent="0.25"/>
    <row r="84" s="162" customFormat="1" x14ac:dyDescent="0.25"/>
    <row r="85" s="162" customFormat="1" x14ac:dyDescent="0.25"/>
    <row r="86" s="162" customFormat="1" x14ac:dyDescent="0.25"/>
    <row r="87" s="162" customFormat="1" x14ac:dyDescent="0.25"/>
    <row r="88" s="162" customFormat="1" x14ac:dyDescent="0.25"/>
    <row r="89" s="162" customFormat="1" x14ac:dyDescent="0.25"/>
    <row r="90" s="162" customFormat="1" x14ac:dyDescent="0.25"/>
    <row r="91" s="162" customFormat="1" x14ac:dyDescent="0.25"/>
    <row r="92" s="162" customFormat="1" x14ac:dyDescent="0.25"/>
    <row r="93" s="162" customFormat="1" x14ac:dyDescent="0.25"/>
    <row r="94" s="162" customFormat="1" x14ac:dyDescent="0.25"/>
    <row r="95" s="162" customFormat="1" x14ac:dyDescent="0.25"/>
    <row r="96" s="162" customFormat="1" x14ac:dyDescent="0.25"/>
    <row r="97" s="162" customFormat="1" x14ac:dyDescent="0.25"/>
    <row r="98" s="162" customFormat="1" x14ac:dyDescent="0.25"/>
    <row r="99" s="162" customFormat="1" x14ac:dyDescent="0.25"/>
    <row r="100" s="162" customFormat="1" x14ac:dyDescent="0.25"/>
    <row r="101" s="162" customFormat="1" x14ac:dyDescent="0.25"/>
    <row r="102" s="162" customFormat="1" x14ac:dyDescent="0.25"/>
    <row r="103" s="162" customFormat="1" x14ac:dyDescent="0.25"/>
    <row r="104" s="162" customFormat="1" x14ac:dyDescent="0.25"/>
    <row r="105" s="162" customFormat="1" x14ac:dyDescent="0.25"/>
    <row r="106" s="162" customFormat="1" x14ac:dyDescent="0.25"/>
    <row r="107" s="162" customFormat="1" x14ac:dyDescent="0.25"/>
    <row r="108" s="162" customFormat="1" x14ac:dyDescent="0.25"/>
    <row r="109" s="162" customFormat="1" x14ac:dyDescent="0.25"/>
    <row r="110" s="162" customFormat="1" x14ac:dyDescent="0.25"/>
    <row r="111" s="162" customFormat="1" x14ac:dyDescent="0.25"/>
    <row r="112" s="162" customFormat="1" x14ac:dyDescent="0.25"/>
    <row r="113" s="162" customFormat="1" x14ac:dyDescent="0.25"/>
    <row r="114" s="162" customFormat="1" x14ac:dyDescent="0.25"/>
    <row r="115" s="162" customFormat="1" x14ac:dyDescent="0.25"/>
    <row r="116" s="162" customFormat="1" x14ac:dyDescent="0.25"/>
    <row r="117" s="162" customFormat="1" x14ac:dyDescent="0.25"/>
    <row r="118" s="162" customFormat="1" x14ac:dyDescent="0.25"/>
    <row r="119" s="162" customFormat="1" x14ac:dyDescent="0.25"/>
    <row r="120" s="162" customFormat="1" x14ac:dyDescent="0.25"/>
    <row r="121" s="162" customFormat="1" x14ac:dyDescent="0.25"/>
    <row r="122" s="162" customFormat="1" x14ac:dyDescent="0.25"/>
    <row r="123" s="162" customFormat="1" x14ac:dyDescent="0.25"/>
    <row r="124" s="162" customFormat="1" x14ac:dyDescent="0.25"/>
    <row r="125" s="162" customFormat="1" x14ac:dyDescent="0.25"/>
    <row r="126" s="162" customFormat="1" x14ac:dyDescent="0.25"/>
    <row r="127" s="162" customFormat="1" x14ac:dyDescent="0.25"/>
    <row r="128" s="162" customFormat="1" x14ac:dyDescent="0.25"/>
    <row r="129" s="162" customFormat="1" x14ac:dyDescent="0.25"/>
    <row r="130" s="162" customFormat="1" x14ac:dyDescent="0.25"/>
    <row r="131" s="162" customFormat="1" x14ac:dyDescent="0.25"/>
    <row r="132" s="162" customFormat="1" x14ac:dyDescent="0.25"/>
    <row r="133" s="162" customFormat="1" x14ac:dyDescent="0.25"/>
    <row r="134" s="162" customFormat="1" x14ac:dyDescent="0.25"/>
    <row r="135" s="162" customFormat="1" x14ac:dyDescent="0.25"/>
    <row r="136" s="162" customFormat="1" x14ac:dyDescent="0.25"/>
    <row r="137" s="162" customFormat="1" x14ac:dyDescent="0.25"/>
    <row r="138" s="162" customFormat="1" x14ac:dyDescent="0.25"/>
    <row r="139" s="162" customFormat="1" x14ac:dyDescent="0.25"/>
    <row r="140" s="162" customFormat="1" x14ac:dyDescent="0.25"/>
    <row r="141" s="162" customFormat="1" x14ac:dyDescent="0.25"/>
    <row r="142" s="162" customFormat="1" x14ac:dyDescent="0.25"/>
    <row r="143" s="162" customFormat="1" x14ac:dyDescent="0.25"/>
    <row r="144" s="162" customFormat="1" x14ac:dyDescent="0.25"/>
    <row r="145" s="162" customFormat="1" x14ac:dyDescent="0.25"/>
    <row r="146" s="162" customFormat="1" x14ac:dyDescent="0.25"/>
    <row r="147" s="162" customFormat="1" x14ac:dyDescent="0.25"/>
    <row r="148" s="162" customFormat="1" x14ac:dyDescent="0.25"/>
    <row r="149" s="162" customFormat="1" x14ac:dyDescent="0.25"/>
    <row r="150" s="162" customFormat="1" x14ac:dyDescent="0.25"/>
    <row r="151" s="162" customFormat="1" x14ac:dyDescent="0.25"/>
    <row r="152" s="162" customFormat="1" x14ac:dyDescent="0.25"/>
    <row r="153" s="162" customFormat="1" x14ac:dyDescent="0.25"/>
    <row r="154" s="162" customFormat="1" x14ac:dyDescent="0.25"/>
    <row r="155" s="162" customFormat="1" x14ac:dyDescent="0.25"/>
    <row r="156" s="162" customFormat="1" x14ac:dyDescent="0.25"/>
    <row r="157" s="162" customFormat="1" x14ac:dyDescent="0.25"/>
    <row r="158" s="162" customFormat="1" x14ac:dyDescent="0.25"/>
    <row r="159" s="162" customFormat="1" x14ac:dyDescent="0.25"/>
    <row r="160" s="162" customFormat="1" x14ac:dyDescent="0.25"/>
    <row r="161" s="162" customFormat="1" x14ac:dyDescent="0.25"/>
    <row r="162" s="162" customFormat="1" x14ac:dyDescent="0.25"/>
    <row r="163" s="162" customFormat="1" x14ac:dyDescent="0.25"/>
    <row r="164" s="162" customFormat="1" x14ac:dyDescent="0.25"/>
    <row r="165" s="162" customFormat="1" x14ac:dyDescent="0.25"/>
    <row r="166" s="162" customFormat="1" x14ac:dyDescent="0.25"/>
    <row r="167" s="162" customFormat="1" x14ac:dyDescent="0.25"/>
    <row r="168" s="162" customFormat="1" x14ac:dyDescent="0.25"/>
    <row r="169" s="162" customFormat="1" x14ac:dyDescent="0.25"/>
    <row r="170" s="162" customFormat="1" x14ac:dyDescent="0.25"/>
    <row r="171" s="162" customFormat="1" x14ac:dyDescent="0.25"/>
    <row r="172" s="162" customFormat="1" x14ac:dyDescent="0.25"/>
    <row r="173" s="162" customFormat="1" x14ac:dyDescent="0.25"/>
    <row r="174" s="162" customFormat="1" x14ac:dyDescent="0.25"/>
    <row r="175" s="162" customFormat="1" x14ac:dyDescent="0.25"/>
    <row r="176" s="162" customFormat="1" x14ac:dyDescent="0.25"/>
    <row r="177" s="162" customFormat="1" x14ac:dyDescent="0.25"/>
    <row r="178" s="162" customFormat="1" x14ac:dyDescent="0.25"/>
    <row r="179" s="162" customFormat="1" x14ac:dyDescent="0.25"/>
    <row r="180" s="162" customFormat="1" x14ac:dyDescent="0.25"/>
    <row r="181" s="162" customFormat="1" x14ac:dyDescent="0.25"/>
    <row r="182" s="162" customFormat="1" x14ac:dyDescent="0.25"/>
    <row r="183" s="162" customFormat="1" x14ac:dyDescent="0.25"/>
    <row r="184" s="162" customFormat="1" x14ac:dyDescent="0.25"/>
    <row r="185" s="162" customFormat="1" x14ac:dyDescent="0.25"/>
    <row r="186" s="162" customFormat="1" x14ac:dyDescent="0.25"/>
    <row r="187" s="162" customFormat="1" x14ac:dyDescent="0.25"/>
    <row r="188" s="162" customFormat="1" x14ac:dyDescent="0.25"/>
    <row r="189" s="162" customFormat="1" x14ac:dyDescent="0.25"/>
    <row r="190" s="162" customFormat="1" x14ac:dyDescent="0.25"/>
    <row r="191" s="162" customFormat="1" x14ac:dyDescent="0.25"/>
    <row r="192" s="162" customFormat="1" x14ac:dyDescent="0.25"/>
    <row r="193" s="162" customFormat="1" x14ac:dyDescent="0.25"/>
  </sheetData>
  <mergeCells count="21">
    <mergeCell ref="A11:L11"/>
    <mergeCell ref="A12:L12"/>
    <mergeCell ref="A5:L5"/>
    <mergeCell ref="A7:L7"/>
    <mergeCell ref="A9:L9"/>
    <mergeCell ref="A10:L10"/>
    <mergeCell ref="A8:L8"/>
    <mergeCell ref="B21:B23"/>
    <mergeCell ref="K21:K23"/>
    <mergeCell ref="A16:L16"/>
    <mergeCell ref="A13:L13"/>
    <mergeCell ref="G22:H22"/>
    <mergeCell ref="L21:L23"/>
    <mergeCell ref="C22:D22"/>
    <mergeCell ref="I21:I23"/>
    <mergeCell ref="J21:J23"/>
    <mergeCell ref="C21:H21"/>
    <mergeCell ref="A19:L19"/>
    <mergeCell ref="A21:A23"/>
    <mergeCell ref="A15:L15"/>
    <mergeCell ref="A14:L14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2016-07-01T09:08:50Z</cp:lastPrinted>
  <dcterms:created xsi:type="dcterms:W3CDTF">2015-08-16T15:31:05Z</dcterms:created>
  <dcterms:modified xsi:type="dcterms:W3CDTF">2019-11-10T09:10:58Z</dcterms:modified>
</cp:coreProperties>
</file>