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125" yWindow="15" windowWidth="15795" windowHeight="13740" tabRatio="884" firstSheet="1" activeTab="9"/>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график'!$A$1:$L$54</definedName>
    <definedName name="_xlnm.Print_Area" localSheetId="9">'6.2. Паспорт фин осв ввод'!$A$1:$K$62</definedName>
  </definedNames>
  <calcPr calcId="145621"/>
</workbook>
</file>

<file path=xl/calcChain.xml><?xml version="1.0" encoding="utf-8"?>
<calcChain xmlns="http://schemas.openxmlformats.org/spreadsheetml/2006/main">
  <c r="B27" i="22" l="1"/>
  <c r="B25" i="22"/>
  <c r="K64" i="15"/>
  <c r="J64" i="15"/>
  <c r="I64" i="15"/>
  <c r="H64" i="15"/>
  <c r="G64" i="15"/>
  <c r="C64" i="15"/>
  <c r="K63" i="15"/>
  <c r="J63" i="15"/>
  <c r="I63" i="15"/>
  <c r="H63" i="15"/>
  <c r="G63" i="15"/>
  <c r="C63" i="15"/>
  <c r="K62" i="15"/>
  <c r="J62" i="15"/>
  <c r="I62" i="15"/>
  <c r="H62" i="15"/>
  <c r="G62" i="15"/>
  <c r="C62" i="15"/>
  <c r="K61" i="15"/>
  <c r="J61" i="15"/>
  <c r="I61" i="15"/>
  <c r="H61" i="15"/>
  <c r="G61" i="15"/>
  <c r="C61" i="15"/>
  <c r="K60" i="15"/>
  <c r="J60" i="15"/>
  <c r="I60" i="15"/>
  <c r="H60" i="15"/>
  <c r="G60" i="15"/>
  <c r="C60" i="15"/>
  <c r="K57" i="15"/>
  <c r="J57" i="15"/>
  <c r="I57" i="15"/>
  <c r="H57" i="15"/>
  <c r="G57" i="15"/>
  <c r="C57" i="15"/>
  <c r="K56" i="15"/>
  <c r="J56" i="15"/>
  <c r="I56" i="15"/>
  <c r="H56" i="15"/>
  <c r="G56" i="15"/>
  <c r="C56" i="15"/>
  <c r="K55" i="15"/>
  <c r="J55" i="15"/>
  <c r="I55" i="15"/>
  <c r="H55" i="15"/>
  <c r="G55" i="15"/>
  <c r="C55" i="15"/>
  <c r="K54" i="15"/>
  <c r="J54" i="15"/>
  <c r="I54" i="15"/>
  <c r="H54" i="15"/>
  <c r="G54" i="15"/>
  <c r="C54" i="15"/>
  <c r="K53" i="15"/>
  <c r="J53" i="15"/>
  <c r="I53" i="15"/>
  <c r="H53" i="15"/>
  <c r="G53" i="15"/>
  <c r="C53" i="15"/>
  <c r="K52" i="15"/>
  <c r="J52" i="15"/>
  <c r="I52" i="15"/>
  <c r="H52" i="15"/>
  <c r="G52" i="15"/>
  <c r="C52" i="15"/>
  <c r="K50" i="15"/>
  <c r="J50" i="15"/>
  <c r="I50" i="15"/>
  <c r="H50" i="15"/>
  <c r="G50" i="15"/>
  <c r="C50" i="15"/>
  <c r="K49" i="15"/>
  <c r="J49" i="15"/>
  <c r="I49" i="15"/>
  <c r="H49" i="15"/>
  <c r="G49" i="15"/>
  <c r="C49" i="15"/>
  <c r="K48" i="15"/>
  <c r="J48" i="15"/>
  <c r="I48" i="15"/>
  <c r="H48" i="15"/>
  <c r="G48" i="15"/>
  <c r="C48" i="15"/>
  <c r="K47" i="15"/>
  <c r="J47" i="15"/>
  <c r="I47" i="15"/>
  <c r="H47" i="15"/>
  <c r="G47" i="15"/>
  <c r="C47" i="15"/>
  <c r="K46" i="15"/>
  <c r="J46" i="15"/>
  <c r="I46" i="15"/>
  <c r="H46" i="15"/>
  <c r="G46" i="15"/>
  <c r="C46" i="15"/>
  <c r="K45" i="15"/>
  <c r="J45" i="15"/>
  <c r="I45" i="15"/>
  <c r="H45" i="15"/>
  <c r="G45" i="15"/>
  <c r="C45" i="15"/>
  <c r="K44" i="15"/>
  <c r="J44" i="15"/>
  <c r="I44" i="15"/>
  <c r="H44" i="15"/>
  <c r="G44" i="15"/>
  <c r="C44" i="15"/>
  <c r="K42" i="15"/>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J34" i="15"/>
  <c r="K34" i="15" s="1"/>
  <c r="G34" i="15"/>
  <c r="C34" i="15"/>
  <c r="J33" i="15"/>
  <c r="K33" i="15" s="1"/>
  <c r="G33" i="15"/>
  <c r="C33" i="15"/>
  <c r="J32" i="15"/>
  <c r="K32" i="15" s="1"/>
  <c r="G32" i="15"/>
  <c r="C32" i="15"/>
  <c r="J31" i="15"/>
  <c r="K31" i="15" s="1"/>
  <c r="G31" i="15"/>
  <c r="C31" i="15"/>
  <c r="K30" i="15"/>
  <c r="J30" i="15"/>
  <c r="I30" i="15"/>
  <c r="H30" i="15"/>
  <c r="G30" i="15"/>
  <c r="F30" i="15"/>
  <c r="E30" i="15"/>
  <c r="D30" i="15"/>
  <c r="C30" i="15"/>
  <c r="J29" i="15"/>
  <c r="K29" i="15" s="1"/>
  <c r="H29" i="15"/>
  <c r="I29" i="15" s="1"/>
  <c r="G29" i="15"/>
  <c r="J28" i="15"/>
  <c r="K28" i="15" s="1"/>
  <c r="H28" i="15"/>
  <c r="I28" i="15" s="1"/>
  <c r="G28" i="15"/>
  <c r="J27" i="15"/>
  <c r="K27" i="15" s="1"/>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B26" i="22" l="1"/>
  <c r="B23" i="22"/>
  <c r="B22" i="22"/>
  <c r="B21" i="22"/>
  <c r="E47" i="15"/>
  <c r="C49" i="7"/>
  <c r="C48" i="7"/>
  <c r="E37" i="15"/>
  <c r="E31" i="15"/>
  <c r="E64" i="15"/>
  <c r="E63" i="15"/>
  <c r="E62" i="15"/>
  <c r="E61" i="15"/>
  <c r="E60" i="15"/>
  <c r="E57" i="15"/>
  <c r="E56" i="15"/>
  <c r="E55" i="15"/>
  <c r="E54" i="15"/>
  <c r="E53" i="15"/>
  <c r="E52" i="15"/>
  <c r="E50" i="15"/>
  <c r="E49" i="15"/>
  <c r="E48" i="15"/>
  <c r="E46" i="15"/>
  <c r="E45" i="15"/>
  <c r="E44" i="15"/>
  <c r="E42" i="15"/>
  <c r="E41" i="15"/>
  <c r="E40" i="15"/>
  <c r="E39" i="15"/>
  <c r="E38" i="15"/>
  <c r="E36" i="15"/>
  <c r="E34" i="15"/>
  <c r="E33" i="15"/>
  <c r="E32" i="15"/>
  <c r="A15" i="22" l="1"/>
  <c r="A13" i="25"/>
  <c r="A12" i="6"/>
  <c r="A11" i="27"/>
  <c r="A12" i="22"/>
  <c r="A15" i="32"/>
  <c r="A14" i="15"/>
  <c r="A15" i="16"/>
  <c r="A15" i="24"/>
  <c r="A15" i="31"/>
  <c r="A15" i="6"/>
  <c r="A14" i="29"/>
  <c r="A16" i="25"/>
  <c r="A14" i="27"/>
  <c r="A5" i="22"/>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1" i="29" l="1"/>
  <c r="A12" i="31" s="1"/>
  <c r="A12" i="24" s="1"/>
  <c r="A12" i="16" s="1"/>
  <c r="A11" i="15" s="1"/>
  <c r="B72" i="22"/>
  <c r="D25" i="15" l="1"/>
  <c r="D22" i="27"/>
  <c r="A12" i="32"/>
  <c r="D25" i="6"/>
  <c r="E25" i="6"/>
  <c r="D27" i="15" l="1"/>
  <c r="D26" i="15"/>
  <c r="F26" i="15"/>
  <c r="E26" i="15" s="1"/>
  <c r="C25" i="15"/>
  <c r="E29" i="15"/>
  <c r="D29" i="15"/>
  <c r="E28" i="15"/>
  <c r="D28" i="15"/>
  <c r="C29" i="15"/>
  <c r="C26" i="15"/>
  <c r="C28" i="15"/>
  <c r="F25" i="15"/>
  <c r="E25" i="15" s="1"/>
  <c r="B53" i="22"/>
  <c r="B55" i="22"/>
  <c r="B54" i="22" s="1"/>
  <c r="C27" i="15" l="1"/>
  <c r="F27" i="15"/>
  <c r="E27" i="15" s="1"/>
  <c r="B52" i="22"/>
</calcChain>
</file>

<file path=xl/sharedStrings.xml><?xml version="1.0" encoding="utf-8"?>
<sst xmlns="http://schemas.openxmlformats.org/spreadsheetml/2006/main" count="1161" uniqueCount="495">
  <si>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</si>
  <si>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</si>
  <si>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</si>
  <si>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</si>
  <si>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</si>
  <si>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</si>
  <si>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</si>
  <si>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</si>
  <si>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</si>
  <si>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</si>
  <si>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</si>
  <si>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</si>
  <si>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</si>
  <si>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</si>
  <si>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</si>
  <si>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</si>
  <si>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</si>
  <si>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</si>
  <si>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</si>
  <si>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</si>
  <si>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</si>
  <si>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</si>
  <si>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</si>
  <si>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</si>
  <si>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</si>
  <si>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</si>
  <si>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</si>
  <si>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</si>
  <si>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</si>
  <si>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</si>
  <si>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</si>
  <si>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</si>
  <si>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</si>
  <si>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</si>
  <si>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</si>
  <si>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</si>
  <si>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</si>
  <si>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</si>
  <si>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</si>
  <si>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</si>
  <si>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</si>
  <si>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</si>
  <si>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</si>
  <si>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</si>
  <si>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</si>
  <si>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</si>
  <si>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</si>
  <si>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</si>
  <si>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</si>
  <si>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</si>
  <si>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</si>
  <si>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</si>
  <si>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</si>
  <si>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</si>
  <si>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</si>
  <si>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</si>
  <si>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</si>
  <si>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</si>
  <si>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</si>
  <si>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</si>
  <si>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</si>
  <si>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</si>
  <si>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</si>
  <si>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</si>
  <si>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</si>
  <si>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</si>
  <si>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</si>
  <si>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</si>
  <si>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</si>
  <si>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</si>
  <si>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</si>
  <si>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</si>
  <si>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</si>
  <si>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</si>
  <si>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</si>
  <si>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</si>
  <si>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</si>
  <si>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</si>
  <si>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</si>
  <si>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</si>
  <si>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</si>
  <si>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</si>
  <si>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</si>
  <si>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</si>
  <si>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</si>
  <si>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</si>
  <si>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</si>
  <si>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</si>
  <si>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</si>
  <si>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</si>
  <si>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</si>
  <si>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</si>
  <si>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</si>
  <si>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</si>
  <si>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</si>
  <si>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</si>
  <si>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</si>
  <si>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</si>
  <si>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</si>
  <si>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</si>
  <si>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</si>
  <si>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</si>
  <si>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</si>
  <si>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</si>
  <si>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</si>
  <si>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</si>
  <si>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</si>
  <si>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</si>
  <si>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</si>
  <si>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</si>
  <si>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</si>
  <si>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</si>
  <si>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</si>
  <si>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</si>
  <si>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</si>
  <si>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</si>
  <si>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</si>
  <si>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</si>
  <si>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</si>
  <si>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</si>
  <si>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</si>
  <si>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</si>
  <si>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</si>
  <si>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</si>
  <si>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</si>
  <si>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</si>
  <si>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</si>
  <si>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</si>
  <si>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</si>
  <si>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</si>
  <si>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</si>
  <si>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</si>
  <si>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</si>
  <si>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</si>
  <si>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</si>
  <si>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</si>
  <si>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</si>
  <si>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</si>
  <si>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</si>
  <si>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</si>
  <si>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</si>
  <si>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</si>
  <si>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</si>
  <si>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</si>
  <si>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</si>
  <si>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</si>
  <si>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</si>
  <si>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</si>
  <si>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</si>
  <si>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</si>
  <si>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</si>
  <si>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</si>
  <si>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</si>
  <si>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</si>
  <si>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</si>
  <si>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</si>
  <si>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</si>
  <si>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</si>
  <si>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</si>
  <si>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</si>
  <si>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</si>
  <si>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</si>
  <si>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</si>
  <si>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</si>
  <si>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</si>
  <si>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</si>
  <si>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</si>
  <si>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</si>
  <si>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</si>
  <si>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</si>
  <si>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</si>
  <si>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</si>
  <si>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</si>
  <si>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</si>
  <si>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</si>
  <si>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</si>
  <si>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</si>
  <si>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</si>
  <si>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</si>
  <si>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</si>
  <si>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</si>
  <si>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</si>
  <si>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</si>
  <si>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</si>
  <si>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</si>
  <si>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</si>
  <si>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</si>
  <si>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</si>
  <si>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</si>
  <si>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</si>
  <si>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</si>
  <si>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</si>
  <si>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</si>
  <si>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</si>
  <si>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</si>
  <si>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</si>
  <si>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</si>
  <si>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</si>
  <si>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</si>
  <si>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</si>
  <si>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</si>
  <si>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</si>
  <si>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</si>
  <si>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</si>
  <si>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</si>
  <si>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</si>
  <si>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</si>
  <si>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</si>
  <si>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</si>
  <si>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</si>
  <si>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</si>
  <si>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</si>
  <si>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</si>
  <si>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</si>
  <si>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</si>
  <si>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</si>
  <si>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</si>
  <si>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</si>
  <si>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</si>
  <si>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</si>
  <si>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</si>
  <si>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</si>
  <si>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</si>
  <si>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</si>
  <si>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</si>
  <si>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</si>
  <si>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</si>
  <si>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</si>
  <si>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</si>
  <si>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</si>
  <si>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</si>
  <si>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</si>
  <si>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</si>
  <si>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</si>
  <si>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</si>
  <si>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</si>
  <si>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</si>
  <si>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</si>
  <si>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</si>
  <si>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</si>
  <si>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</si>
  <si>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</si>
  <si>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</si>
  <si>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</si>
  <si>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</si>
  <si>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</si>
  <si>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</si>
  <si>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</si>
  <si>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</si>
  <si>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</si>
  <si>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</si>
  <si>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</si>
  <si>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</si>
  <si>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</si>
  <si>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</si>
  <si>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не требуются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</si>
  <si>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</si>
  <si>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</si>
  <si>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</si>
  <si>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</si>
  <si>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</si>
  <si>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</si>
  <si>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</si>
  <si>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</si>
  <si>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</si>
  <si>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</si>
  <si>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Сметная стоимость проекта в ценах 2016 года с НДС, млн. руб.</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</si>
  <si>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</si>
  <si>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</si>
  <si>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</si>
  <si>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</si>
  <si>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</si>
  <si>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</si>
  <si>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</si>
  <si>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</si>
  <si>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</si>
  <si>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</si>
  <si>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</si>
  <si>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</si>
  <si>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</si>
  <si>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</si>
  <si>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</si>
  <si>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</si>
  <si>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</si>
  <si>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</si>
  <si>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</si>
  <si>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</si>
  <si>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</si>
  <si>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</si>
  <si>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Выполнение обязательств по ТП льготной группы потребителей свыше 670 кВт, реализация по мере поступления заявок на ТП</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</si>
  <si>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</si>
  <si>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</si>
  <si>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</si>
  <si>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</si>
  <si>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</si>
  <si>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</si>
  <si>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</si>
  <si>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</si>
  <si>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</si>
  <si>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</si>
  <si>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</si>
  <si>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</si>
  <si>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</si>
  <si>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</si>
  <si>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</si>
  <si>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</si>
  <si>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</si>
  <si>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</si>
  <si>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</si>
  <si>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</si>
  <si>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</si>
  <si>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</si>
  <si>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</si>
  <si>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</si>
  <si>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</si>
  <si>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</si>
  <si>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</si>
  <si>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</si>
  <si>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</si>
  <si>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</si>
  <si>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</si>
  <si>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</si>
  <si>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</si>
  <si>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</si>
  <si>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</si>
  <si>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</si>
  <si>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</si>
  <si>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</si>
  <si>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</si>
  <si>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</si>
  <si>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</si>
  <si>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</si>
  <si>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</si>
  <si>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</si>
  <si>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</si>
  <si>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</si>
  <si>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</si>
  <si>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</si>
  <si>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</si>
  <si>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</si>
  <si>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</si>
  <si>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</si>
  <si>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</si>
  <si>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</si>
  <si>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</si>
  <si>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</si>
  <si>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</si>
  <si>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</si>
  <si>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</si>
  <si>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</si>
  <si>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</si>
  <si>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</si>
  <si>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</si>
  <si>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</si>
  <si>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</si>
  <si>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</si>
  <si>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</si>
  <si>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</si>
  <si>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</si>
  <si>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</si>
  <si>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</si>
  <si>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</si>
  <si>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</si>
  <si>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</si>
  <si>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</si>
  <si>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</si>
  <si>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</si>
  <si>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</si>
  <si>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</si>
  <si>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</si>
  <si>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</si>
  <si>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</si>
  <si>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</si>
  <si>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</si>
  <si>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</si>
  <si>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</si>
  <si>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</si>
  <si>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</si>
  <si>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</si>
  <si>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</si>
  <si>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</si>
  <si>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</si>
  <si>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</si>
  <si>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</si>
  <si>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</si>
  <si>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</si>
  <si>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</si>
  <si>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</si>
  <si>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</si>
  <si>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</si>
  <si>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</si>
  <si>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</si>
  <si>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</si>
  <si>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</si>
  <si>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</si>
  <si>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</si>
  <si>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</si>
  <si>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</si>
  <si>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</si>
  <si>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</si>
  <si>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</si>
  <si>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</si>
  <si>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</si>
  <si>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</si>
  <si>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</si>
  <si>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</si>
  <si>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</si>
  <si>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</si>
  <si>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</si>
  <si>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</si>
  <si>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</si>
  <si>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</si>
  <si>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</si>
  <si>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</si>
  <si>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</si>
  <si>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</si>
  <si>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</si>
  <si>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</si>
  <si>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</si>
  <si>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</si>
  <si>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</si>
  <si>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</si>
  <si>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</si>
  <si>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</si>
  <si>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</si>
  <si>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</si>
  <si>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</si>
  <si>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</si>
  <si>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</si>
  <si>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</si>
  <si>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</si>
  <si>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</si>
  <si>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</si>
  <si>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</si>
  <si>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</si>
  <si>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</si>
  <si>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</si>
  <si>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</si>
  <si>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</si>
  <si>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</si>
  <si>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</si>
  <si>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</si>
  <si>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</si>
  <si>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</si>
  <si>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</si>
  <si>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</si>
  <si>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</si>
  <si>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</si>
  <si>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</si>
  <si>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</si>
  <si>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</si>
  <si>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</si>
  <si>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</si>
  <si>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</si>
  <si>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</si>
  <si>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</si>
  <si>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 Грозный</t>
  </si>
  <si>
    <t xml:space="preserve">Объекты технологического присоединения мощностью свыше 670 кВт., 1 потребитель;  </t>
  </si>
  <si>
    <t>Модернизация оборудования ячейки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t>
  </si>
  <si>
    <t xml:space="preserve">Модернизация оборудования ячейки Ф-7 ПС 110 кВ Восточная  </t>
  </si>
  <si>
    <t>I_Che134</t>
  </si>
  <si>
    <t>Ф-7 ПС 110 кВ Восточная</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</si>
  <si>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</si>
  <si>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</si>
  <si>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Всего</t>
  </si>
  <si>
    <t>-</t>
  </si>
  <si>
    <t xml:space="preserve">2019 год </t>
  </si>
  <si>
    <t>Шт</t>
  </si>
  <si>
    <t>Измерительный трансформатор</t>
  </si>
  <si>
    <t>ТЛК- 10 300/5</t>
  </si>
  <si>
    <t>ТЛК-10 800/5</t>
  </si>
  <si>
    <t>Филиал/ подразделение</t>
  </si>
  <si>
    <t>не осуществлялось</t>
  </si>
  <si>
    <t>Неокупаем</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</si>
  <si>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</si>
  <si>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</si>
  <si>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</si>
  <si>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</si>
  <si>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</si>
  <si>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не относится</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</si>
  <si>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- 150,38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</si>
  <si>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не предусмотрен</t>
  </si>
  <si>
    <t>не проводились</t>
  </si>
  <si>
    <t>№85/2015 28.04.2015</t>
  </si>
  <si>
    <t>Общежитие Чеченского государственного университета</t>
  </si>
  <si>
    <t xml:space="preserve">ПС 110/10 "Восточная" </t>
  </si>
  <si>
    <t>Исполнение обязательств по договору технологического присоединения №85/2015 28.04.2015</t>
  </si>
  <si>
    <t>Технологическое присоединение ФГБОУ "Чеченский государственный университет" максимальной мощностью 1,214 МВт</t>
  </si>
  <si>
    <t>0,032 млн.руб./шт.</t>
  </si>
  <si>
    <t>Факт 2018 года</t>
  </si>
  <si>
    <t xml:space="preserve"> по состоянию на 01.01.2018</t>
  </si>
  <si>
    <t>по состоянию на 01.01.2019</t>
  </si>
  <si>
    <t>Итого за год (нарастающим итогом)</t>
  </si>
  <si>
    <t>за отчетный квартал</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</si>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</sst>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82"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8"/>
      <color theme="1"/>
      <name val="Times New Roman"/>
      <family val="1"/>
      <charset val="204"/>
    </font>
    <font>
      <sz val="14"/>
      <color theme="1"/>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3" fillId="0" borderId="0"/>
    <xf numFmtId="0" fontId="10" fillId="0" borderId="0"/>
    <xf numFmtId="0" fontId="73" fillId="0" borderId="0"/>
    <xf numFmtId="0" fontId="72" fillId="0" borderId="0"/>
    <xf numFmtId="0" fontId="72" fillId="0" borderId="0"/>
    <xf numFmtId="0" fontId="72" fillId="0" borderId="0"/>
    <xf numFmtId="0" fontId="72" fillId="0" borderId="0"/>
    <xf numFmtId="0" fontId="74" fillId="0" borderId="0"/>
    <xf numFmtId="0" fontId="72"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5"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cellStyleXfs>
  <cellXfs count="323">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4" fillId="0" borderId="0" xfId="40" applyNumberFormat="1" applyFont="1" applyFill="1" applyAlignment="1">
      <alignment horizontal="right" vertical="top" wrapText="1"/>
    </xf>
    <xf numFmtId="0" fontId="34" fillId="0" borderId="0" xfId="40" applyFont="1" applyFill="1" applyAlignment="1">
      <alignment horizontal="right"/>
    </xf>
    <xf numFmtId="0" fontId="35" fillId="0" borderId="15" xfId="40" applyFont="1" applyFill="1" applyBorder="1" applyAlignment="1">
      <alignment horizontal="left" vertical="center" wrapText="1"/>
    </xf>
    <xf numFmtId="0" fontId="35" fillId="0" borderId="15" xfId="40" applyFont="1" applyFill="1" applyBorder="1" applyAlignment="1">
      <alignment horizontal="center" vertical="center" wrapText="1"/>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16" xfId="40" applyFont="1" applyFill="1" applyBorder="1" applyAlignment="1">
      <alignment vertical="center" wrapText="1"/>
    </xf>
    <xf numFmtId="0" fontId="36" fillId="0" borderId="17" xfId="40" applyFont="1" applyFill="1" applyBorder="1" applyAlignment="1">
      <alignment vertical="center" wrapText="1"/>
    </xf>
    <xf numFmtId="0" fontId="10" fillId="0" borderId="0" xfId="40" applyFont="1" applyFill="1" applyAlignment="1">
      <alignment vertical="top" wrapText="1"/>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5" fillId="0" borderId="0" xfId="51" applyFont="1" applyFill="1" applyAlignment="1">
      <alignment horizontal="left" vertical="center"/>
    </xf>
    <xf numFmtId="0" fontId="55" fillId="0" borderId="0" xfId="51" applyFont="1" applyFill="1" applyAlignment="1">
      <alignment horizontal="center" vertical="center"/>
    </xf>
    <xf numFmtId="0" fontId="54" fillId="0" borderId="0" xfId="51" applyFont="1" applyFill="1" applyAlignment="1">
      <alignment horizontal="center"/>
    </xf>
    <xf numFmtId="0" fontId="57" fillId="0" borderId="0" xfId="51" applyFont="1" applyFill="1" applyBorder="1" applyAlignment="1">
      <alignment horizontal="center" vertical="center"/>
    </xf>
    <xf numFmtId="0" fontId="57" fillId="0" borderId="0" xfId="51" applyFont="1" applyFill="1" applyAlignment="1">
      <alignment horizontal="center" vertical="center"/>
    </xf>
    <xf numFmtId="0" fontId="72" fillId="0" borderId="0" xfId="52" applyFill="1"/>
    <xf numFmtId="0" fontId="36" fillId="0" borderId="10" xfId="39" applyFont="1" applyFill="1" applyBorder="1" applyAlignment="1">
      <alignment horizontal="center" vertical="center" wrapText="1"/>
    </xf>
    <xf numFmtId="0" fontId="62" fillId="0" borderId="10" xfId="40" applyFont="1" applyFill="1" applyBorder="1" applyAlignment="1">
      <alignment horizontal="center" vertical="center" wrapText="1"/>
    </xf>
    <xf numFmtId="0" fontId="65" fillId="0" borderId="0" xfId="50" applyFont="1" applyFill="1" applyAlignment="1"/>
    <xf numFmtId="0" fontId="62" fillId="0" borderId="0" xfId="50" applyFont="1" applyFill="1" applyAlignment="1"/>
    <xf numFmtId="0" fontId="53"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20" xfId="0" applyFill="1" applyBorder="1" applyAlignment="1">
      <alignment horizontal="center" vertical="center"/>
    </xf>
    <xf numFmtId="0" fontId="65" fillId="0" borderId="0" xfId="50" applyFont="1" applyFill="1"/>
    <xf numFmtId="0" fontId="58"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0" fontId="35" fillId="0" borderId="21" xfId="40" applyFont="1" applyFill="1" applyBorder="1" applyAlignment="1">
      <alignment horizontal="justify" vertical="center" wrapText="1"/>
    </xf>
    <xf numFmtId="0" fontId="34" fillId="0" borderId="21" xfId="40" applyFont="1" applyFill="1" applyBorder="1" applyAlignment="1">
      <alignment horizontal="justify" vertical="center" wrapText="1"/>
    </xf>
    <xf numFmtId="0" fontId="10" fillId="0" borderId="0" xfId="40" applyFill="1" applyAlignment="1">
      <alignment vertical="center" wrapText="1"/>
    </xf>
    <xf numFmtId="0" fontId="35" fillId="0" borderId="21" xfId="40" applyFont="1" applyFill="1" applyBorder="1" applyAlignment="1">
      <alignment vertical="center" wrapText="1"/>
    </xf>
    <xf numFmtId="0" fontId="35" fillId="0" borderId="22" xfId="40" applyFont="1" applyFill="1" applyBorder="1" applyAlignment="1">
      <alignment vertical="center" wrapText="1"/>
    </xf>
    <xf numFmtId="0" fontId="35" fillId="0" borderId="22" xfId="40" applyFont="1" applyFill="1" applyBorder="1" applyAlignment="1">
      <alignment horizontal="justify" vertical="center" wrapText="1"/>
    </xf>
    <xf numFmtId="0" fontId="35" fillId="0" borderId="15" xfId="40" applyFont="1" applyFill="1" applyBorder="1" applyAlignment="1">
      <alignment vertical="center" wrapText="1"/>
    </xf>
    <xf numFmtId="0" fontId="34" fillId="0" borderId="15" xfId="40" applyFont="1" applyFill="1" applyBorder="1" applyAlignment="1">
      <alignment vertical="center" wrapText="1"/>
    </xf>
    <xf numFmtId="0" fontId="34" fillId="0" borderId="23" xfId="40" applyFont="1" applyFill="1" applyBorder="1" applyAlignment="1">
      <alignment vertical="center" wrapText="1"/>
    </xf>
    <xf numFmtId="0" fontId="34" fillId="0" borderId="21" xfId="40" applyFont="1" applyFill="1" applyBorder="1" applyAlignment="1">
      <alignment vertical="center" wrapText="1"/>
    </xf>
    <xf numFmtId="0" fontId="34" fillId="0" borderId="22" xfId="40" applyFont="1" applyFill="1" applyBorder="1" applyAlignment="1">
      <alignment vertical="center" wrapText="1"/>
    </xf>
    <xf numFmtId="0" fontId="34" fillId="0" borderId="24" xfId="40" applyFont="1" applyFill="1" applyBorder="1" applyAlignment="1">
      <alignment vertical="center" wrapText="1"/>
    </xf>
    <xf numFmtId="0" fontId="34" fillId="0" borderId="25" xfId="40" applyFont="1" applyFill="1" applyBorder="1" applyAlignment="1">
      <alignment vertical="center" wrapText="1"/>
    </xf>
    <xf numFmtId="49" fontId="75" fillId="0" borderId="10" xfId="51" applyNumberFormat="1" applyFont="1" applyFill="1" applyBorder="1" applyAlignment="1">
      <alignment vertical="center"/>
    </xf>
    <xf numFmtId="0" fontId="75" fillId="0" borderId="11" xfId="51" applyFont="1" applyFill="1" applyBorder="1" applyAlignment="1">
      <alignment vertical="center" wrapText="1"/>
    </xf>
    <xf numFmtId="0" fontId="75"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79" fillId="0" borderId="11" xfId="5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xf>
    <xf numFmtId="0" fontId="6" fillId="0" borderId="10" xfId="46" applyFont="1" applyFill="1" applyBorder="1" applyAlignment="1">
      <alignment horizontal="left" vertical="center" wrapText="1"/>
    </xf>
    <xf numFmtId="2" fontId="36" fillId="0" borderId="10" xfId="40" applyNumberFormat="1" applyFont="1" applyFill="1" applyBorder="1" applyAlignment="1">
      <alignment horizontal="center" vertical="center" wrapText="1"/>
    </xf>
    <xf numFmtId="0" fontId="6" fillId="0" borderId="12" xfId="46"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6" fillId="0" borderId="0" xfId="51" applyFont="1" applyFill="1" applyAlignment="1">
      <alignment horizontal="center" vertical="center"/>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wrapText="1"/>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58"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6" fillId="0" borderId="10" xfId="50" applyFont="1" applyFill="1" applyBorder="1" applyAlignment="1">
      <alignment horizontal="center" vertical="center"/>
    </xf>
    <xf numFmtId="0" fontId="66" fillId="0" borderId="0" xfId="50" applyFont="1" applyFill="1"/>
    <xf numFmtId="0" fontId="36" fillId="0" borderId="10" xfId="40" applyFont="1" applyFill="1" applyBorder="1" applyAlignment="1">
      <alignment vertical="top" wrapText="1"/>
    </xf>
    <xf numFmtId="0" fontId="10" fillId="0" borderId="10" xfId="40" applyFont="1" applyFill="1" applyBorder="1" applyAlignment="1">
      <alignment vertical="top" wrapText="1"/>
    </xf>
    <xf numFmtId="14" fontId="10" fillId="0" borderId="10" xfId="40" applyNumberFormat="1" applyFont="1" applyFill="1" applyBorder="1" applyAlignment="1">
      <alignment horizontal="center" vertical="center" wrapText="1"/>
    </xf>
    <xf numFmtId="0" fontId="10" fillId="0" borderId="10" xfId="40" applyFont="1" applyFill="1" applyBorder="1" applyAlignment="1">
      <alignment horizontal="center" vertical="center" wrapText="1"/>
    </xf>
    <xf numFmtId="0" fontId="10" fillId="0" borderId="10" xfId="40" applyFont="1" applyFill="1" applyBorder="1" applyAlignment="1">
      <alignment horizontal="justify" vertical="top" wrapText="1"/>
    </xf>
    <xf numFmtId="0" fontId="43" fillId="0" borderId="10" xfId="40" applyFont="1" applyFill="1" applyBorder="1" applyAlignment="1">
      <alignment horizontal="center"/>
    </xf>
    <xf numFmtId="0" fontId="10" fillId="0" borderId="10" xfId="40" applyNumberFormat="1" applyFont="1" applyFill="1" applyBorder="1" applyAlignment="1">
      <alignment horizontal="left" vertical="top"/>
    </xf>
    <xf numFmtId="0" fontId="0" fillId="0" borderId="0" xfId="0" applyFill="1"/>
    <xf numFmtId="0" fontId="58" fillId="0" borderId="18" xfId="40" applyFont="1" applyFill="1" applyBorder="1" applyAlignment="1">
      <alignment horizontal="center" vertical="center" wrapText="1"/>
    </xf>
    <xf numFmtId="0" fontId="58" fillId="0" borderId="14" xfId="40" applyFont="1" applyFill="1" applyBorder="1" applyAlignment="1">
      <alignment horizontal="center" vertical="center" wrapText="1"/>
    </xf>
    <xf numFmtId="0" fontId="58" fillId="0" borderId="19" xfId="40" applyFont="1" applyFill="1" applyBorder="1" applyAlignment="1">
      <alignment horizontal="center" vertical="center" wrapText="1"/>
    </xf>
    <xf numFmtId="4" fontId="10" fillId="0" borderId="10" xfId="40" applyNumberFormat="1" applyFont="1" applyFill="1" applyBorder="1" applyAlignment="1">
      <alignment horizontal="center" vertical="center" wrapText="1"/>
    </xf>
    <xf numFmtId="9" fontId="10" fillId="0" borderId="10" xfId="58" applyFont="1" applyFill="1" applyBorder="1" applyAlignment="1">
      <alignment horizontal="center" vertical="center" wrapText="1"/>
    </xf>
    <xf numFmtId="3" fontId="10" fillId="0" borderId="10" xfId="40" applyNumberFormat="1" applyFont="1" applyFill="1" applyBorder="1" applyAlignment="1">
      <alignment horizontal="center" vertical="center" wrapText="1"/>
    </xf>
    <xf numFmtId="0" fontId="56" fillId="0" borderId="0" xfId="51" applyFont="1" applyFill="1" applyAlignment="1">
      <alignment vertical="center"/>
    </xf>
    <xf numFmtId="0" fontId="54" fillId="0" borderId="0" xfId="51" applyFont="1" applyFill="1" applyBorder="1"/>
    <xf numFmtId="0" fontId="63" fillId="0" borderId="0" xfId="51" applyFont="1" applyFill="1" applyAlignment="1">
      <alignment vertical="center"/>
    </xf>
    <xf numFmtId="0" fontId="60" fillId="0" borderId="0" xfId="51" applyFont="1" applyFill="1"/>
    <xf numFmtId="0" fontId="59" fillId="0" borderId="0" xfId="51" applyFont="1" applyFill="1" applyAlignment="1">
      <alignment vertical="center"/>
    </xf>
    <xf numFmtId="0" fontId="61" fillId="0" borderId="0" xfId="51" applyFont="1" applyFill="1" applyAlignment="1">
      <alignment vertical="center"/>
    </xf>
    <xf numFmtId="0" fontId="58" fillId="0" borderId="10" xfId="51" applyFont="1" applyFill="1" applyBorder="1" applyAlignment="1">
      <alignment horizontal="center" vertical="center" wrapText="1"/>
    </xf>
    <xf numFmtId="0" fontId="58" fillId="0" borderId="10" xfId="51" applyFont="1" applyFill="1" applyBorder="1" applyAlignment="1">
      <alignment horizontal="center" vertical="center"/>
    </xf>
    <xf numFmtId="0" fontId="56" fillId="0" borderId="10" xfId="51" applyFont="1" applyFill="1" applyBorder="1" applyAlignment="1">
      <alignment horizontal="center" vertical="center"/>
    </xf>
    <xf numFmtId="0" fontId="60" fillId="0" borderId="0" xfId="51" applyFont="1" applyFill="1" applyBorder="1"/>
    <xf numFmtId="0" fontId="59" fillId="0" borderId="10" xfId="51" applyFont="1" applyFill="1" applyBorder="1" applyAlignment="1">
      <alignment horizontal="center" vertical="center" wrapText="1"/>
    </xf>
    <xf numFmtId="0" fontId="59" fillId="0" borderId="11" xfId="51" applyFont="1" applyFill="1" applyBorder="1" applyAlignment="1">
      <alignment horizontal="center" vertical="center" wrapText="1"/>
    </xf>
    <xf numFmtId="49" fontId="59" fillId="0" borderId="10" xfId="51" applyNumberFormat="1" applyFont="1" applyFill="1" applyBorder="1" applyAlignment="1">
      <alignment vertical="center"/>
    </xf>
    <xf numFmtId="0" fontId="74" fillId="0" borderId="0" xfId="51" applyFill="1" applyBorder="1"/>
    <xf numFmtId="0" fontId="74" fillId="0" borderId="0" xfId="51" applyFill="1"/>
    <xf numFmtId="0" fontId="57" fillId="0" borderId="0" xfId="51"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53"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3"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10" fillId="0" borderId="10" xfId="40" applyFont="1" applyFill="1" applyBorder="1" applyAlignment="1">
      <alignment vertical="center" wrapText="1"/>
    </xf>
    <xf numFmtId="0" fontId="6" fillId="0" borderId="11" xfId="51" applyFont="1" applyFill="1" applyBorder="1" applyAlignment="1">
      <alignment vertical="center" wrapText="1"/>
    </xf>
    <xf numFmtId="1" fontId="75" fillId="0" borderId="10" xfId="51" applyNumberFormat="1" applyFont="1" applyFill="1" applyBorder="1" applyAlignment="1">
      <alignment horizontal="left" vertical="center" wrapText="1"/>
    </xf>
    <xf numFmtId="2" fontId="81" fillId="0" borderId="10" xfId="51" applyNumberFormat="1" applyFont="1" applyFill="1" applyBorder="1" applyAlignment="1">
      <alignment horizontal="center"/>
    </xf>
    <xf numFmtId="0" fontId="81" fillId="0" borderId="10" xfId="51" applyFont="1" applyFill="1" applyBorder="1" applyAlignment="1">
      <alignment horizontal="center"/>
    </xf>
    <xf numFmtId="0" fontId="75" fillId="0" borderId="10" xfId="51" applyFont="1" applyFill="1" applyBorder="1" applyAlignment="1">
      <alignment vertical="center" wrapText="1"/>
    </xf>
    <xf numFmtId="0" fontId="10" fillId="0" borderId="0" xfId="39" applyFont="1" applyFill="1" applyAlignment="1">
      <alignment horizontal="left"/>
    </xf>
    <xf numFmtId="0" fontId="64"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10" xfId="39" applyFont="1" applyFill="1" applyBorder="1" applyAlignment="1">
      <alignment horizontal="center" vertical="center" wrapText="1"/>
    </xf>
    <xf numFmtId="0" fontId="10" fillId="0" borderId="10" xfId="39" applyFont="1" applyFill="1" applyBorder="1" applyAlignment="1">
      <alignment horizontal="center" vertical="center"/>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8" fillId="0" borderId="11" xfId="51" applyFont="1" applyFill="1" applyBorder="1" applyAlignment="1">
      <alignment horizontal="center" vertical="center" wrapText="1"/>
    </xf>
    <xf numFmtId="0" fontId="78" fillId="0" borderId="10" xfId="51" applyFont="1" applyFill="1" applyBorder="1" applyAlignment="1">
      <alignment horizontal="center" vertical="center" wrapText="1"/>
    </xf>
    <xf numFmtId="0" fontId="78" fillId="0" borderId="11" xfId="51" applyFont="1" applyFill="1" applyBorder="1" applyAlignment="1">
      <alignment horizontal="center" vertical="center" wrapText="1"/>
    </xf>
    <xf numFmtId="0" fontId="37" fillId="0" borderId="11" xfId="51" applyFont="1" applyFill="1" applyBorder="1" applyAlignment="1">
      <alignment horizontal="center" vertical="center" wrapText="1"/>
    </xf>
    <xf numFmtId="2" fontId="78" fillId="0" borderId="11" xfId="51" applyNumberFormat="1" applyFont="1" applyFill="1" applyBorder="1" applyAlignment="1">
      <alignment horizontal="center" vertical="center" wrapText="1"/>
    </xf>
    <xf numFmtId="0" fontId="80" fillId="0" borderId="10" xfId="51" applyFont="1" applyFill="1" applyBorder="1" applyAlignment="1">
      <alignment horizontal="center" vertical="center"/>
    </xf>
    <xf numFmtId="0" fontId="76" fillId="0" borderId="10" xfId="51" applyFont="1" applyFill="1" applyBorder="1" applyAlignment="1">
      <alignment horizontal="center" vertical="center"/>
    </xf>
    <xf numFmtId="0" fontId="76" fillId="0" borderId="11" xfId="51" applyFont="1" applyFill="1" applyBorder="1" applyAlignment="1">
      <alignment horizontal="center" vertical="center"/>
    </xf>
    <xf numFmtId="0" fontId="74" fillId="0" borderId="10" xfId="51" applyFill="1" applyBorder="1"/>
    <xf numFmtId="0" fontId="75" fillId="0" borderId="0" xfId="51" applyFont="1" applyFill="1" applyAlignment="1">
      <alignment horizontal="center" vertical="center"/>
    </xf>
    <xf numFmtId="0" fontId="75" fillId="0" borderId="0" xfId="51" applyFont="1" applyFill="1" applyAlignment="1">
      <alignment vertical="center"/>
    </xf>
    <xf numFmtId="0" fontId="75" fillId="0" borderId="11" xfId="51" applyFont="1" applyFill="1" applyBorder="1" applyAlignment="1">
      <alignment horizontal="center" vertical="center" wrapText="1"/>
    </xf>
    <xf numFmtId="0" fontId="75" fillId="0" borderId="10" xfId="51" applyFont="1" applyFill="1" applyBorder="1" applyAlignment="1">
      <alignment horizontal="center" vertical="center" wrapText="1"/>
    </xf>
    <xf numFmtId="0" fontId="75" fillId="0" borderId="11" xfId="51" applyFont="1" applyFill="1" applyBorder="1" applyAlignment="1">
      <alignment horizontal="left" vertical="center" wrapText="1"/>
    </xf>
    <xf numFmtId="2" fontId="75" fillId="0" borderId="10" xfId="51" applyNumberFormat="1" applyFont="1" applyFill="1" applyBorder="1" applyAlignment="1">
      <alignment horizontal="left" vertical="center"/>
    </xf>
    <xf numFmtId="0" fontId="10" fillId="0" borderId="0" xfId="39" applyFont="1" applyFill="1" applyAlignment="1">
      <alignment horizontal="center" vertical="center"/>
    </xf>
    <xf numFmtId="0" fontId="36" fillId="0" borderId="10" xfId="39" applyFont="1" applyFill="1" applyBorder="1" applyAlignment="1">
      <alignment horizontal="center" vertical="center"/>
    </xf>
    <xf numFmtId="0" fontId="10" fillId="0" borderId="0" xfId="39" applyFont="1" applyFill="1" applyAlignment="1">
      <alignment horizontal="center"/>
    </xf>
    <xf numFmtId="0" fontId="10" fillId="24" borderId="10" xfId="39" applyFont="1" applyFill="1" applyBorder="1" applyAlignment="1">
      <alignment horizontal="center" vertical="center" wrapText="1"/>
    </xf>
    <xf numFmtId="2" fontId="65" fillId="0" borderId="10" xfId="50" applyNumberFormat="1" applyFont="1" applyFill="1" applyBorder="1" applyAlignment="1">
      <alignment horizontal="center" vertical="center" wrapText="1"/>
    </xf>
    <xf numFmtId="0" fontId="65" fillId="0" borderId="10" xfId="50" applyFont="1" applyFill="1" applyBorder="1" applyAlignment="1">
      <alignment horizontal="center" vertical="center" wrapText="1"/>
    </xf>
    <xf numFmtId="1" fontId="65" fillId="0" borderId="10" xfId="50" applyNumberFormat="1" applyFont="1" applyFill="1" applyBorder="1" applyAlignment="1">
      <alignment horizontal="center" vertical="center"/>
    </xf>
    <xf numFmtId="9" fontId="10" fillId="0" borderId="10" xfId="61" applyFont="1" applyFill="1" applyBorder="1" applyAlignment="1">
      <alignment horizontal="center" vertical="top" wrapText="1"/>
    </xf>
    <xf numFmtId="0" fontId="10" fillId="24" borderId="10" xfId="40" applyFont="1" applyFill="1" applyBorder="1" applyAlignment="1">
      <alignment horizontal="center" vertical="center" wrapText="1"/>
    </xf>
    <xf numFmtId="9" fontId="10" fillId="0" borderId="10" xfId="61" applyFont="1" applyFill="1" applyBorder="1" applyAlignment="1">
      <alignment horizontal="center" vertical="center"/>
    </xf>
    <xf numFmtId="9" fontId="10" fillId="0" borderId="10" xfId="61" applyFont="1" applyFill="1" applyBorder="1"/>
    <xf numFmtId="14" fontId="10" fillId="24" borderId="10" xfId="4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0" fontId="36" fillId="0" borderId="14" xfId="40" applyFont="1" applyFill="1" applyBorder="1" applyAlignment="1">
      <alignment horizontal="center" vertical="center" wrapText="1"/>
    </xf>
    <xf numFmtId="49" fontId="75" fillId="0" borderId="11" xfId="51" applyNumberFormat="1" applyFont="1" applyFill="1" applyBorder="1" applyAlignment="1">
      <alignment horizontal="center" vertical="center"/>
    </xf>
    <xf numFmtId="49" fontId="75" fillId="0" borderId="26" xfId="51" applyNumberFormat="1" applyFont="1" applyFill="1" applyBorder="1" applyAlignment="1">
      <alignment horizontal="center" vertical="center"/>
    </xf>
    <xf numFmtId="49" fontId="75" fillId="0" borderId="20" xfId="51" applyNumberFormat="1" applyFont="1" applyFill="1" applyBorder="1" applyAlignment="1">
      <alignment horizontal="center" vertical="center"/>
    </xf>
    <xf numFmtId="0" fontId="36" fillId="0" borderId="0" xfId="0" applyFont="1" applyFill="1" applyAlignment="1">
      <alignment horizontal="center" vertical="center"/>
    </xf>
    <xf numFmtId="0" fontId="75" fillId="0" borderId="0" xfId="51" applyFont="1" applyFill="1" applyAlignment="1">
      <alignment horizontal="center" vertical="center"/>
    </xf>
    <xf numFmtId="0" fontId="77" fillId="0" borderId="0" xfId="51" applyFont="1" applyFill="1" applyAlignment="1">
      <alignment horizontal="center" vertical="center" wrapText="1"/>
    </xf>
    <xf numFmtId="0" fontId="77" fillId="0" borderId="0" xfId="51" applyFont="1" applyFill="1" applyAlignment="1">
      <alignment horizontal="center" vertical="center"/>
    </xf>
    <xf numFmtId="0" fontId="4" fillId="0" borderId="0" xfId="51" applyFont="1" applyFill="1" applyAlignment="1">
      <alignment horizontal="center" vertical="center"/>
    </xf>
    <xf numFmtId="0" fontId="46" fillId="0" borderId="0" xfId="51" applyFont="1" applyFill="1" applyAlignment="1">
      <alignment horizontal="center" vertical="center"/>
    </xf>
    <xf numFmtId="0" fontId="6" fillId="0" borderId="0" xfId="51" applyFont="1" applyFill="1" applyAlignment="1">
      <alignment horizontal="center" vertical="center"/>
    </xf>
    <xf numFmtId="0" fontId="46" fillId="0" borderId="0" xfId="51" applyFont="1" applyFill="1" applyAlignment="1">
      <alignment horizontal="center" vertical="center" wrapText="1"/>
    </xf>
    <xf numFmtId="0" fontId="58" fillId="0" borderId="10"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61" fillId="0" borderId="0" xfId="51" applyFont="1" applyFill="1" applyAlignment="1">
      <alignment horizontal="center" vertical="center"/>
    </xf>
    <xf numFmtId="0" fontId="59" fillId="0" borderId="0" xfId="51" applyFont="1" applyFill="1" applyAlignment="1">
      <alignment horizontal="center" vertical="center"/>
    </xf>
    <xf numFmtId="0" fontId="57" fillId="0" borderId="0" xfId="51" applyFont="1" applyFill="1" applyBorder="1" applyAlignment="1">
      <alignment horizontal="center" vertical="center"/>
    </xf>
    <xf numFmtId="0" fontId="67" fillId="0" borderId="0" xfId="51" applyFont="1" applyFill="1" applyAlignment="1">
      <alignment horizontal="center" vertical="center"/>
    </xf>
    <xf numFmtId="0" fontId="57" fillId="0" borderId="0" xfId="51" applyFont="1" applyFill="1" applyAlignment="1">
      <alignment horizontal="center" vertical="center"/>
    </xf>
    <xf numFmtId="0" fontId="61" fillId="0" borderId="0" xfId="51" applyFont="1" applyFill="1" applyAlignment="1">
      <alignment horizontal="center" vertical="center" wrapText="1"/>
    </xf>
    <xf numFmtId="0" fontId="59" fillId="0" borderId="16" xfId="51" applyFont="1" applyFill="1" applyBorder="1" applyAlignment="1">
      <alignment vertical="center"/>
    </xf>
    <xf numFmtId="0" fontId="58" fillId="0" borderId="14" xfId="51" applyFont="1" applyFill="1" applyBorder="1" applyAlignment="1">
      <alignment horizontal="center" vertical="center" wrapText="1"/>
    </xf>
    <xf numFmtId="0" fontId="58" fillId="0" borderId="12" xfId="51" applyFont="1" applyFill="1" applyBorder="1" applyAlignment="1">
      <alignment horizontal="center" vertical="center" wrapText="1"/>
    </xf>
    <xf numFmtId="0" fontId="56"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6"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27" xfId="39" applyFont="1" applyFill="1" applyBorder="1" applyAlignment="1">
      <alignment horizontal="center" vertical="center" wrapText="1"/>
    </xf>
    <xf numFmtId="0" fontId="36" fillId="0" borderId="28" xfId="39" applyFont="1" applyFill="1" applyBorder="1" applyAlignment="1">
      <alignment horizontal="center" vertical="center" wrapText="1"/>
    </xf>
    <xf numFmtId="0" fontId="36" fillId="0" borderId="29" xfId="39" applyFont="1" applyFill="1" applyBorder="1" applyAlignment="1">
      <alignment horizontal="center" vertical="center" wrapText="1"/>
    </xf>
    <xf numFmtId="0" fontId="36" fillId="0" borderId="17"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26"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7" fillId="0" borderId="0" xfId="51" applyFont="1" applyFill="1" applyAlignment="1">
      <alignment horizontal="center" vertical="center" wrapText="1"/>
    </xf>
    <xf numFmtId="0" fontId="53" fillId="0" borderId="11" xfId="0" applyFont="1" applyFill="1" applyBorder="1" applyAlignment="1">
      <alignment horizontal="center" vertical="center"/>
    </xf>
    <xf numFmtId="0" fontId="53" fillId="0" borderId="26" xfId="0" applyFont="1" applyFill="1" applyBorder="1" applyAlignment="1">
      <alignment horizontal="center" vertical="center"/>
    </xf>
    <xf numFmtId="0" fontId="53" fillId="0" borderId="20"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26"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65" fillId="0" borderId="0" xfId="50" applyFont="1" applyFill="1" applyAlignment="1">
      <alignment horizontal="center"/>
    </xf>
    <xf numFmtId="0" fontId="62" fillId="0" borderId="0" xfId="50" applyFont="1" applyFill="1" applyAlignment="1">
      <alignment horizontal="center"/>
    </xf>
    <xf numFmtId="0" fontId="56" fillId="0" borderId="0" xfId="51" applyFont="1" applyFill="1" applyAlignment="1">
      <alignment horizontal="center" vertical="center" wrapText="1"/>
    </xf>
    <xf numFmtId="0" fontId="58" fillId="0" borderId="11" xfId="51" applyFont="1" applyFill="1" applyBorder="1" applyAlignment="1">
      <alignment horizontal="center" vertical="center" wrapText="1"/>
    </xf>
    <xf numFmtId="0" fontId="58" fillId="0" borderId="26" xfId="51" applyFont="1" applyFill="1" applyBorder="1" applyAlignment="1">
      <alignment horizontal="center" vertical="center" wrapText="1"/>
    </xf>
    <xf numFmtId="0" fontId="58" fillId="0" borderId="20" xfId="51" applyFont="1" applyFill="1" applyBorder="1" applyAlignment="1">
      <alignment horizontal="center" vertical="center" wrapText="1"/>
    </xf>
    <xf numFmtId="0" fontId="58" fillId="0" borderId="30" xfId="40" applyFont="1" applyFill="1" applyBorder="1" applyAlignment="1">
      <alignment horizontal="center" vertical="center" wrapText="1"/>
    </xf>
    <xf numFmtId="0" fontId="58" fillId="0" borderId="31" xfId="40" applyFont="1" applyFill="1" applyBorder="1" applyAlignment="1">
      <alignment horizontal="center" vertical="center" wrapText="1"/>
    </xf>
    <xf numFmtId="0" fontId="58" fillId="0" borderId="32" xfId="40" applyFont="1" applyFill="1" applyBorder="1" applyAlignment="1">
      <alignment horizontal="center" vertical="center" wrapText="1"/>
    </xf>
    <xf numFmtId="0" fontId="58" fillId="0" borderId="33" xfId="40" applyFont="1" applyFill="1" applyBorder="1" applyAlignment="1">
      <alignment horizontal="center" vertical="center" wrapText="1"/>
    </xf>
    <xf numFmtId="0" fontId="58" fillId="0" borderId="10" xfId="40" applyFont="1" applyFill="1" applyBorder="1" applyAlignment="1">
      <alignment horizontal="center" vertical="center" wrapText="1"/>
    </xf>
    <xf numFmtId="0" fontId="58" fillId="0" borderId="34" xfId="40" applyFont="1" applyFill="1" applyBorder="1" applyAlignment="1">
      <alignment horizontal="center" vertical="center" wrapText="1"/>
    </xf>
    <xf numFmtId="0" fontId="68" fillId="0" borderId="0" xfId="51" applyFont="1" applyFill="1" applyAlignment="1">
      <alignment horizontal="center" vertical="center"/>
    </xf>
    <xf numFmtId="0" fontId="68" fillId="0" borderId="0" xfId="51" applyFont="1" applyFill="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9" xfId="40" applyFont="1" applyFill="1" applyBorder="1" applyAlignment="1">
      <alignment horizontal="center" vertical="center" wrapText="1"/>
    </xf>
    <xf numFmtId="0" fontId="36" fillId="0" borderId="17"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0" xfId="54"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69" fillId="0" borderId="10" xfId="50" applyFont="1" applyFill="1" applyBorder="1" applyAlignment="1">
      <alignment horizontal="center" vertical="center" wrapText="1"/>
    </xf>
    <xf numFmtId="0" fontId="62" fillId="0" borderId="10" xfId="50" applyFont="1" applyFill="1" applyBorder="1" applyAlignment="1">
      <alignment horizontal="center" vertical="center" wrapText="1"/>
    </xf>
    <xf numFmtId="0" fontId="58" fillId="0" borderId="14" xfId="50" applyFont="1" applyFill="1" applyBorder="1" applyAlignment="1">
      <alignment horizontal="center" vertical="center" textRotation="90" wrapText="1"/>
    </xf>
    <xf numFmtId="0" fontId="58" fillId="0" borderId="12" xfId="50" applyFont="1" applyFill="1" applyBorder="1" applyAlignment="1">
      <alignment horizontal="center" vertical="center" textRotation="90" wrapText="1"/>
    </xf>
    <xf numFmtId="0" fontId="70" fillId="0" borderId="14" xfId="46" applyFont="1" applyFill="1" applyBorder="1" applyAlignment="1">
      <alignment horizontal="center" vertical="center" textRotation="90" wrapText="1"/>
    </xf>
    <xf numFmtId="0" fontId="70"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58" fillId="0" borderId="14" xfId="50" applyFont="1" applyFill="1" applyBorder="1" applyAlignment="1">
      <alignment horizontal="center" vertical="center"/>
    </xf>
    <xf numFmtId="0" fontId="58" fillId="0" borderId="12" xfId="50" applyFont="1" applyFill="1" applyBorder="1" applyAlignment="1">
      <alignment horizontal="center" vertical="center"/>
    </xf>
    <xf numFmtId="0" fontId="58" fillId="0" borderId="10" xfId="50" applyFont="1" applyFill="1" applyBorder="1" applyAlignment="1">
      <alignment horizontal="center" vertical="center" wrapText="1"/>
    </xf>
    <xf numFmtId="0" fontId="58" fillId="0" borderId="14" xfId="50" applyFont="1" applyFill="1" applyBorder="1" applyAlignment="1">
      <alignment horizontal="center" vertical="center" wrapText="1"/>
    </xf>
    <xf numFmtId="0" fontId="58"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8"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4" fillId="0" borderId="0" xfId="50" applyFont="1" applyFill="1" applyAlignment="1">
      <alignment horizontal="center"/>
    </xf>
    <xf numFmtId="0" fontId="62" fillId="0" borderId="16" xfId="50" applyFont="1" applyFill="1" applyBorder="1" applyAlignment="1">
      <alignment horizontal="center"/>
    </xf>
    <xf numFmtId="0" fontId="58" fillId="0" borderId="13"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58" fillId="0" borderId="35" xfId="50" applyFont="1" applyFill="1" applyBorder="1" applyAlignment="1">
      <alignment horizontal="center" vertical="center" wrapText="1"/>
    </xf>
    <xf numFmtId="0" fontId="58" fillId="0" borderId="29" xfId="50" applyFont="1" applyFill="1" applyBorder="1" applyAlignment="1">
      <alignment horizontal="center" vertical="center" wrapText="1"/>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2" fillId="0" borderId="0" xfId="51" applyFont="1" applyFill="1" applyAlignment="1">
      <alignment horizontal="center" vertical="center"/>
    </xf>
    <xf numFmtId="0" fontId="58" fillId="0" borderId="11" xfId="50" applyFont="1" applyFill="1" applyBorder="1" applyAlignment="1">
      <alignment horizontal="center" vertical="center" wrapText="1"/>
    </xf>
    <xf numFmtId="0" fontId="58" fillId="0" borderId="26" xfId="50" applyFont="1" applyFill="1" applyBorder="1" applyAlignment="1">
      <alignment horizontal="center" vertical="center" wrapText="1"/>
    </xf>
    <xf numFmtId="0" fontId="58"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1" fillId="0" borderId="0" xfId="51" applyFont="1" applyFill="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2" fontId="46" fillId="0" borderId="0" xfId="51" applyNumberFormat="1" applyFont="1" applyFill="1" applyAlignment="1">
      <alignment horizontal="center" vertical="center"/>
    </xf>
    <xf numFmtId="0" fontId="42"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58"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70" zoomScaleNormal="70" workbookViewId="0">
      <selection activeCell="A6" sqref="A6"/>
    </sheetView>
  </sheetViews>
  <sheetFormatPr defaultRowHeight="15" x14ac:dyDescent="0.25"/>
  <cols>
    <col min="1" max="1" width="6.140625" style="136" customWidth="1"/>
    <col min="2" max="2" width="53.5703125" style="136" customWidth="1"/>
    <col min="3" max="3" width="91.42578125" style="136" customWidth="1"/>
    <col min="4" max="4" width="18.5703125" style="136" customWidth="1"/>
    <col min="5" max="5" width="14.42578125" style="136" customWidth="1"/>
    <col min="6" max="6" width="36.5703125" style="136" customWidth="1"/>
    <col min="7" max="7" width="20" style="136" customWidth="1"/>
    <col min="8" max="8" width="25.5703125" style="136" customWidth="1"/>
    <col min="9" max="9" width="16.42578125" style="136" customWidth="1"/>
    <col min="10" max="16384" width="9.140625" style="136"/>
  </cols>
  <sheetData>
    <row r="1" spans="1:22" s="2" customFormat="1" ht="18.75" customHeight="1" x14ac:dyDescent="0.2">
      <c r="A1" s="38"/>
      <c r="C1" s="40" t="s">
        <v>23</v>
      </c>
    </row>
    <row r="2" spans="1:22" s="2" customFormat="1" ht="18.75" customHeight="1" x14ac:dyDescent="0.3">
      <c r="A2" s="38"/>
      <c r="C2" s="41" t="s">
        <v>7</v>
      </c>
    </row>
    <row r="3" spans="1:22" s="2" customFormat="1" ht="18.75" x14ac:dyDescent="0.3">
      <c r="A3" s="145"/>
      <c r="C3" s="41" t="s">
        <v>22</v>
      </c>
    </row>
    <row r="4" spans="1:22" s="2" customFormat="1" ht="18.75" x14ac:dyDescent="0.3">
      <c r="A4" s="145"/>
      <c r="H4" s="41"/>
    </row>
    <row r="5" spans="1:22" s="2" customFormat="1" ht="15.75" x14ac:dyDescent="0.25">
      <c r="A5" s="209" t="s">
        <v>494</v>
      </c>
      <c r="B5" s="209"/>
      <c r="C5" s="209"/>
      <c r="D5" s="36"/>
      <c r="E5" s="36"/>
      <c r="F5" s="36"/>
      <c r="G5" s="36"/>
      <c r="H5" s="36"/>
      <c r="I5" s="36"/>
      <c r="J5" s="36"/>
    </row>
    <row r="6" spans="1:22" s="2" customFormat="1" ht="18.75" x14ac:dyDescent="0.3">
      <c r="A6" s="145"/>
      <c r="H6" s="41"/>
    </row>
    <row r="7" spans="1:22" s="2" customFormat="1" ht="18.75" x14ac:dyDescent="0.2">
      <c r="A7" s="213" t="s">
        <v>6</v>
      </c>
      <c r="B7" s="213"/>
      <c r="C7" s="213"/>
      <c r="D7" s="95"/>
      <c r="E7" s="95"/>
      <c r="F7" s="95"/>
      <c r="G7" s="95"/>
      <c r="H7" s="95"/>
      <c r="I7" s="95"/>
      <c r="J7" s="95"/>
      <c r="K7" s="95"/>
      <c r="L7" s="95"/>
      <c r="M7" s="95"/>
      <c r="N7" s="95"/>
      <c r="O7" s="95"/>
      <c r="P7" s="95"/>
      <c r="Q7" s="95"/>
      <c r="R7" s="95"/>
      <c r="S7" s="95"/>
      <c r="T7" s="95"/>
      <c r="U7" s="95"/>
      <c r="V7" s="95"/>
    </row>
    <row r="8" spans="1:22" s="2" customFormat="1" ht="18.75" x14ac:dyDescent="0.2">
      <c r="A8" s="146"/>
      <c r="B8" s="146"/>
      <c r="C8" s="146"/>
      <c r="D8" s="146"/>
      <c r="E8" s="146"/>
      <c r="F8" s="146"/>
      <c r="G8" s="146"/>
      <c r="H8" s="146"/>
      <c r="I8" s="95"/>
      <c r="J8" s="95"/>
      <c r="K8" s="95"/>
      <c r="L8" s="95"/>
      <c r="M8" s="95"/>
      <c r="N8" s="95"/>
      <c r="O8" s="95"/>
      <c r="P8" s="95"/>
      <c r="Q8" s="95"/>
      <c r="R8" s="95"/>
      <c r="S8" s="95"/>
      <c r="T8" s="95"/>
      <c r="U8" s="95"/>
      <c r="V8" s="95"/>
    </row>
    <row r="9" spans="1:22" s="2" customFormat="1" ht="18.75" x14ac:dyDescent="0.2">
      <c r="A9" s="214" t="s">
        <v>252</v>
      </c>
      <c r="B9" s="214"/>
      <c r="C9" s="214"/>
      <c r="D9" s="98"/>
      <c r="E9" s="98"/>
      <c r="F9" s="98"/>
      <c r="G9" s="98"/>
      <c r="H9" s="98"/>
      <c r="I9" s="95"/>
      <c r="J9" s="95"/>
      <c r="K9" s="95"/>
      <c r="L9" s="95"/>
      <c r="M9" s="95"/>
      <c r="N9" s="95"/>
      <c r="O9" s="95"/>
      <c r="P9" s="95"/>
      <c r="Q9" s="95"/>
      <c r="R9" s="95"/>
      <c r="S9" s="95"/>
      <c r="T9" s="95"/>
      <c r="U9" s="95"/>
      <c r="V9" s="95"/>
    </row>
    <row r="10" spans="1:22" s="2" customFormat="1" ht="18.75" x14ac:dyDescent="0.2">
      <c r="A10" s="215" t="s">
        <v>5</v>
      </c>
      <c r="B10" s="215"/>
      <c r="C10" s="215"/>
      <c r="D10" s="99"/>
      <c r="E10" s="99"/>
      <c r="F10" s="99"/>
      <c r="G10" s="99"/>
      <c r="H10" s="99"/>
      <c r="I10" s="95"/>
      <c r="J10" s="95"/>
      <c r="K10" s="95"/>
      <c r="L10" s="95"/>
      <c r="M10" s="95"/>
      <c r="N10" s="95"/>
      <c r="O10" s="95"/>
      <c r="P10" s="95"/>
      <c r="Q10" s="95"/>
      <c r="R10" s="95"/>
      <c r="S10" s="95"/>
      <c r="T10" s="95"/>
      <c r="U10" s="95"/>
      <c r="V10" s="95"/>
    </row>
    <row r="11" spans="1:22" s="2" customFormat="1" ht="18.75" x14ac:dyDescent="0.2">
      <c r="A11" s="146"/>
      <c r="B11" s="146"/>
      <c r="C11" s="146"/>
      <c r="D11" s="146"/>
      <c r="E11" s="146"/>
      <c r="F11" s="146"/>
      <c r="G11" s="146"/>
      <c r="H11" s="146"/>
      <c r="I11" s="95"/>
      <c r="J11" s="95"/>
      <c r="K11" s="95"/>
      <c r="L11" s="95"/>
      <c r="M11" s="95"/>
      <c r="N11" s="95"/>
      <c r="O11" s="95"/>
      <c r="P11" s="95"/>
      <c r="Q11" s="95"/>
      <c r="R11" s="95"/>
      <c r="S11" s="95"/>
      <c r="T11" s="95"/>
      <c r="U11" s="95"/>
      <c r="V11" s="95"/>
    </row>
    <row r="12" spans="1:22" s="2" customFormat="1" ht="18.75" x14ac:dyDescent="0.2">
      <c r="A12" s="214" t="s">
        <v>460</v>
      </c>
      <c r="B12" s="214"/>
      <c r="C12" s="214"/>
      <c r="D12" s="98"/>
      <c r="E12" s="98"/>
      <c r="F12" s="98"/>
      <c r="G12" s="98"/>
      <c r="H12" s="98"/>
      <c r="I12" s="95"/>
      <c r="J12" s="95"/>
      <c r="K12" s="95"/>
      <c r="L12" s="95"/>
      <c r="M12" s="95"/>
      <c r="N12" s="95"/>
      <c r="O12" s="95"/>
      <c r="P12" s="95"/>
      <c r="Q12" s="95"/>
      <c r="R12" s="95"/>
      <c r="S12" s="95"/>
      <c r="T12" s="95"/>
      <c r="U12" s="95"/>
      <c r="V12" s="95"/>
    </row>
    <row r="13" spans="1:22" s="2" customFormat="1" ht="18.75" x14ac:dyDescent="0.2">
      <c r="A13" s="215" t="s">
        <v>4</v>
      </c>
      <c r="B13" s="215"/>
      <c r="C13" s="215"/>
      <c r="D13" s="99"/>
      <c r="E13" s="99"/>
      <c r="F13" s="99"/>
      <c r="G13" s="99"/>
      <c r="H13" s="99"/>
      <c r="I13" s="95"/>
      <c r="J13" s="95"/>
      <c r="K13" s="95"/>
      <c r="L13" s="95"/>
      <c r="M13" s="95"/>
      <c r="N13" s="95"/>
      <c r="O13" s="95"/>
      <c r="P13" s="95"/>
      <c r="Q13" s="95"/>
      <c r="R13" s="95"/>
      <c r="S13" s="95"/>
      <c r="T13" s="95"/>
      <c r="U13" s="95"/>
      <c r="V13" s="95"/>
    </row>
    <row r="14" spans="1:22" s="147" customFormat="1" ht="15.75" customHeight="1" x14ac:dyDescent="0.2">
      <c r="A14" s="85"/>
      <c r="B14" s="85"/>
      <c r="C14" s="85"/>
      <c r="D14" s="85"/>
      <c r="E14" s="85"/>
      <c r="F14" s="85"/>
      <c r="G14" s="85"/>
      <c r="H14" s="85"/>
      <c r="I14" s="85"/>
      <c r="J14" s="85"/>
      <c r="K14" s="85"/>
      <c r="L14" s="85"/>
      <c r="M14" s="85"/>
      <c r="N14" s="85"/>
      <c r="O14" s="85"/>
      <c r="P14" s="85"/>
      <c r="Q14" s="85"/>
      <c r="R14" s="85"/>
      <c r="S14" s="85"/>
      <c r="T14" s="85"/>
      <c r="U14" s="85"/>
      <c r="V14" s="85"/>
    </row>
    <row r="15" spans="1:22" s="148" customFormat="1" ht="56.25" customHeight="1" x14ac:dyDescent="0.2">
      <c r="A15" s="216" t="str">
        <f>VLOOKUP(A12,'[1]6.2. отчет'!$A:$C,3,0)</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14"/>
      <c r="C15" s="214"/>
      <c r="D15" s="98"/>
      <c r="E15" s="98"/>
      <c r="F15" s="98"/>
      <c r="G15" s="98"/>
      <c r="H15" s="98"/>
      <c r="I15" s="98"/>
      <c r="J15" s="98"/>
      <c r="K15" s="98"/>
      <c r="L15" s="98"/>
      <c r="M15" s="98"/>
      <c r="N15" s="98"/>
      <c r="O15" s="98"/>
      <c r="P15" s="98"/>
      <c r="Q15" s="98"/>
      <c r="R15" s="98"/>
      <c r="S15" s="98"/>
      <c r="T15" s="98"/>
      <c r="U15" s="98"/>
      <c r="V15" s="98"/>
    </row>
    <row r="16" spans="1:22" s="148" customFormat="1" ht="15" customHeight="1" x14ac:dyDescent="0.2">
      <c r="A16" s="210" t="s">
        <v>3</v>
      </c>
      <c r="B16" s="210"/>
      <c r="C16" s="210"/>
      <c r="D16" s="99"/>
      <c r="E16" s="99"/>
      <c r="F16" s="99"/>
      <c r="G16" s="99"/>
      <c r="H16" s="99"/>
      <c r="I16" s="99"/>
      <c r="J16" s="99"/>
      <c r="K16" s="99"/>
      <c r="L16" s="99"/>
      <c r="M16" s="99"/>
      <c r="N16" s="99"/>
      <c r="O16" s="99"/>
      <c r="P16" s="99"/>
      <c r="Q16" s="99"/>
      <c r="R16" s="99"/>
      <c r="S16" s="99"/>
      <c r="T16" s="99"/>
      <c r="U16" s="99"/>
      <c r="V16" s="99"/>
    </row>
    <row r="17" spans="1:22" s="148" customFormat="1" ht="15" customHeight="1" x14ac:dyDescent="0.2">
      <c r="A17" s="186"/>
      <c r="B17" s="186"/>
      <c r="C17" s="186"/>
      <c r="D17" s="149"/>
      <c r="E17" s="149"/>
      <c r="F17" s="149"/>
      <c r="G17" s="149"/>
      <c r="H17" s="149"/>
      <c r="I17" s="149"/>
      <c r="J17" s="149"/>
      <c r="K17" s="149"/>
      <c r="L17" s="149"/>
      <c r="M17" s="149"/>
      <c r="N17" s="149"/>
      <c r="O17" s="149"/>
      <c r="P17" s="149"/>
      <c r="Q17" s="149"/>
      <c r="R17" s="149"/>
      <c r="S17" s="149"/>
    </row>
    <row r="18" spans="1:22" s="148" customFormat="1" ht="15" customHeight="1" x14ac:dyDescent="0.2">
      <c r="A18" s="211" t="s">
        <v>245</v>
      </c>
      <c r="B18" s="212"/>
      <c r="C18" s="212"/>
      <c r="D18" s="150"/>
      <c r="E18" s="150"/>
      <c r="F18" s="150"/>
      <c r="G18" s="150"/>
      <c r="H18" s="150"/>
      <c r="I18" s="150"/>
      <c r="J18" s="150"/>
      <c r="K18" s="150"/>
      <c r="L18" s="150"/>
      <c r="M18" s="150"/>
      <c r="N18" s="150"/>
      <c r="O18" s="150"/>
      <c r="P18" s="150"/>
      <c r="Q18" s="150"/>
      <c r="R18" s="150"/>
      <c r="S18" s="150"/>
      <c r="T18" s="150"/>
      <c r="U18" s="150"/>
      <c r="V18" s="150"/>
    </row>
    <row r="19" spans="1:22" s="148" customFormat="1" ht="15" customHeight="1" x14ac:dyDescent="0.2">
      <c r="A19" s="187"/>
      <c r="B19" s="187"/>
      <c r="C19" s="187"/>
      <c r="D19" s="99"/>
      <c r="E19" s="99"/>
      <c r="F19" s="99"/>
      <c r="G19" s="99"/>
      <c r="H19" s="99"/>
      <c r="I19" s="149"/>
      <c r="J19" s="149"/>
      <c r="K19" s="149"/>
      <c r="L19" s="149"/>
      <c r="M19" s="149"/>
      <c r="N19" s="149"/>
      <c r="O19" s="149"/>
      <c r="P19" s="149"/>
      <c r="Q19" s="149"/>
      <c r="R19" s="149"/>
      <c r="S19" s="149"/>
    </row>
    <row r="20" spans="1:22" s="148" customFormat="1" ht="39.75" customHeight="1" x14ac:dyDescent="0.2">
      <c r="A20" s="161" t="s">
        <v>2</v>
      </c>
      <c r="B20" s="188" t="s">
        <v>21</v>
      </c>
      <c r="C20" s="189" t="s">
        <v>20</v>
      </c>
      <c r="D20" s="154"/>
      <c r="E20" s="154"/>
      <c r="F20" s="154"/>
      <c r="G20" s="154"/>
      <c r="H20" s="154"/>
      <c r="I20" s="85"/>
      <c r="J20" s="85"/>
      <c r="K20" s="85"/>
      <c r="L20" s="85"/>
      <c r="M20" s="85"/>
      <c r="N20" s="85"/>
      <c r="O20" s="85"/>
      <c r="P20" s="85"/>
      <c r="Q20" s="85"/>
      <c r="R20" s="85"/>
      <c r="S20" s="85"/>
      <c r="T20" s="155"/>
      <c r="U20" s="155"/>
      <c r="V20" s="155"/>
    </row>
    <row r="21" spans="1:22" s="148" customFormat="1" ht="16.5" customHeight="1" x14ac:dyDescent="0.2">
      <c r="A21" s="189">
        <v>1</v>
      </c>
      <c r="B21" s="188">
        <v>2</v>
      </c>
      <c r="C21" s="189">
        <v>3</v>
      </c>
      <c r="D21" s="154"/>
      <c r="E21" s="154"/>
      <c r="F21" s="154"/>
      <c r="G21" s="154"/>
      <c r="H21" s="154"/>
      <c r="I21" s="85"/>
      <c r="J21" s="85"/>
      <c r="K21" s="85"/>
      <c r="L21" s="85"/>
      <c r="M21" s="85"/>
      <c r="N21" s="85"/>
      <c r="O21" s="85"/>
      <c r="P21" s="85"/>
      <c r="Q21" s="85"/>
      <c r="R21" s="85"/>
      <c r="S21" s="85"/>
      <c r="T21" s="155"/>
      <c r="U21" s="155"/>
      <c r="V21" s="155"/>
    </row>
    <row r="22" spans="1:22" s="148" customFormat="1" ht="39" customHeight="1" x14ac:dyDescent="0.2">
      <c r="A22" s="71" t="s">
        <v>19</v>
      </c>
      <c r="B22" s="190" t="s">
        <v>142</v>
      </c>
      <c r="C22" s="73" t="s">
        <v>474</v>
      </c>
      <c r="D22" s="154"/>
      <c r="E22" s="154"/>
      <c r="F22" s="154"/>
      <c r="G22" s="154"/>
      <c r="H22" s="154"/>
      <c r="I22" s="85"/>
      <c r="J22" s="85"/>
      <c r="K22" s="85"/>
      <c r="L22" s="85"/>
      <c r="M22" s="85"/>
      <c r="N22" s="85"/>
      <c r="O22" s="85"/>
      <c r="P22" s="85"/>
      <c r="Q22" s="85"/>
      <c r="R22" s="85"/>
      <c r="S22" s="85"/>
      <c r="T22" s="155"/>
      <c r="U22" s="155"/>
      <c r="V22" s="155"/>
    </row>
    <row r="23" spans="1:22" s="148" customFormat="1" ht="47.25" x14ac:dyDescent="0.2">
      <c r="A23" s="71" t="s">
        <v>18</v>
      </c>
      <c r="B23" s="72" t="s">
        <v>463</v>
      </c>
      <c r="C23" s="73" t="s">
        <v>475</v>
      </c>
      <c r="D23" s="154"/>
      <c r="E23" s="154"/>
      <c r="F23" s="154"/>
      <c r="G23" s="154"/>
      <c r="H23" s="154"/>
      <c r="I23" s="85"/>
      <c r="J23" s="85"/>
      <c r="K23" s="85"/>
      <c r="L23" s="85"/>
      <c r="M23" s="85"/>
      <c r="N23" s="85"/>
      <c r="O23" s="85"/>
      <c r="P23" s="85"/>
      <c r="Q23" s="85"/>
      <c r="R23" s="85"/>
      <c r="S23" s="85"/>
      <c r="T23" s="155"/>
      <c r="U23" s="155"/>
      <c r="V23" s="155"/>
    </row>
    <row r="24" spans="1:22" s="148" customFormat="1" ht="22.5" customHeight="1" x14ac:dyDescent="0.2">
      <c r="A24" s="206"/>
      <c r="B24" s="207"/>
      <c r="C24" s="208"/>
      <c r="D24" s="154"/>
      <c r="E24" s="154"/>
      <c r="F24" s="154"/>
      <c r="G24" s="154"/>
      <c r="H24" s="154"/>
      <c r="I24" s="85"/>
      <c r="J24" s="85"/>
      <c r="K24" s="85"/>
      <c r="L24" s="85"/>
      <c r="M24" s="85"/>
      <c r="N24" s="85"/>
      <c r="O24" s="85"/>
      <c r="P24" s="85"/>
      <c r="Q24" s="85"/>
      <c r="R24" s="85"/>
      <c r="S24" s="85"/>
      <c r="T24" s="155"/>
      <c r="U24" s="155"/>
      <c r="V24" s="155"/>
    </row>
    <row r="25" spans="1:22" s="148" customFormat="1" ht="58.5" customHeight="1" x14ac:dyDescent="0.2">
      <c r="A25" s="71" t="s">
        <v>17</v>
      </c>
      <c r="B25" s="73" t="s">
        <v>220</v>
      </c>
      <c r="C25" s="161" t="s">
        <v>476</v>
      </c>
      <c r="D25" s="154"/>
      <c r="E25" s="154"/>
      <c r="F25" s="154"/>
      <c r="G25" s="154"/>
      <c r="H25" s="85"/>
      <c r="I25" s="85"/>
      <c r="J25" s="85"/>
      <c r="K25" s="85"/>
      <c r="L25" s="85"/>
      <c r="M25" s="85"/>
      <c r="N25" s="85"/>
      <c r="O25" s="85"/>
      <c r="P25" s="85"/>
      <c r="Q25" s="85"/>
      <c r="R25" s="85"/>
      <c r="S25" s="155"/>
      <c r="T25" s="155"/>
      <c r="U25" s="155"/>
      <c r="V25" s="155"/>
    </row>
    <row r="26" spans="1:22" s="148" customFormat="1" ht="42.75" customHeight="1" x14ac:dyDescent="0.2">
      <c r="A26" s="71" t="s">
        <v>16</v>
      </c>
      <c r="B26" s="73" t="s">
        <v>29</v>
      </c>
      <c r="C26" s="161" t="s">
        <v>477</v>
      </c>
      <c r="D26" s="154"/>
      <c r="E26" s="154"/>
      <c r="F26" s="154"/>
      <c r="G26" s="154"/>
      <c r="H26" s="85"/>
      <c r="I26" s="85"/>
      <c r="J26" s="85"/>
      <c r="K26" s="85"/>
      <c r="L26" s="85"/>
      <c r="M26" s="85"/>
      <c r="N26" s="85"/>
      <c r="O26" s="85"/>
      <c r="P26" s="85"/>
      <c r="Q26" s="85"/>
      <c r="R26" s="85"/>
      <c r="S26" s="155"/>
      <c r="T26" s="155"/>
      <c r="U26" s="155"/>
      <c r="V26" s="155"/>
    </row>
    <row r="27" spans="1:22" s="148" customFormat="1" ht="51.75" customHeight="1" x14ac:dyDescent="0.2">
      <c r="A27" s="71" t="s">
        <v>14</v>
      </c>
      <c r="B27" s="73" t="s">
        <v>28</v>
      </c>
      <c r="C27" s="161" t="s">
        <v>478</v>
      </c>
      <c r="D27" s="154"/>
      <c r="E27" s="154"/>
      <c r="F27" s="154"/>
      <c r="G27" s="154"/>
      <c r="H27" s="85"/>
      <c r="I27" s="85"/>
      <c r="J27" s="85"/>
      <c r="K27" s="85"/>
      <c r="L27" s="85"/>
      <c r="M27" s="85"/>
      <c r="N27" s="85"/>
      <c r="O27" s="85"/>
      <c r="P27" s="85"/>
      <c r="Q27" s="85"/>
      <c r="R27" s="85"/>
      <c r="S27" s="155"/>
      <c r="T27" s="155"/>
      <c r="U27" s="155"/>
      <c r="V27" s="155"/>
    </row>
    <row r="28" spans="1:22" s="148" customFormat="1" ht="42.75" customHeight="1" x14ac:dyDescent="0.2">
      <c r="A28" s="71" t="s">
        <v>13</v>
      </c>
      <c r="B28" s="73" t="s">
        <v>221</v>
      </c>
      <c r="C28" s="161" t="s">
        <v>253</v>
      </c>
      <c r="D28" s="154"/>
      <c r="E28" s="154"/>
      <c r="F28" s="154"/>
      <c r="G28" s="154"/>
      <c r="H28" s="85"/>
      <c r="I28" s="85"/>
      <c r="J28" s="85"/>
      <c r="K28" s="85"/>
      <c r="L28" s="85"/>
      <c r="M28" s="85"/>
      <c r="N28" s="85"/>
      <c r="O28" s="85"/>
      <c r="P28" s="85"/>
      <c r="Q28" s="85"/>
      <c r="R28" s="85"/>
      <c r="S28" s="155"/>
      <c r="T28" s="155"/>
      <c r="U28" s="155"/>
      <c r="V28" s="155"/>
    </row>
    <row r="29" spans="1:22" s="148" customFormat="1" ht="51.75" customHeight="1" x14ac:dyDescent="0.2">
      <c r="A29" s="71" t="s">
        <v>11</v>
      </c>
      <c r="B29" s="73" t="s">
        <v>222</v>
      </c>
      <c r="C29" s="161" t="s">
        <v>253</v>
      </c>
      <c r="D29" s="154"/>
      <c r="E29" s="154"/>
      <c r="F29" s="154"/>
      <c r="G29" s="154"/>
      <c r="H29" s="85"/>
      <c r="I29" s="85"/>
      <c r="J29" s="85"/>
      <c r="K29" s="85"/>
      <c r="L29" s="85"/>
      <c r="M29" s="85"/>
      <c r="N29" s="85"/>
      <c r="O29" s="85"/>
      <c r="P29" s="85"/>
      <c r="Q29" s="85"/>
      <c r="R29" s="85"/>
      <c r="S29" s="155"/>
      <c r="T29" s="155"/>
      <c r="U29" s="155"/>
      <c r="V29" s="155"/>
    </row>
    <row r="30" spans="1:22" s="148" customFormat="1" ht="51.75" customHeight="1" x14ac:dyDescent="0.2">
      <c r="A30" s="71" t="s">
        <v>9</v>
      </c>
      <c r="B30" s="73" t="s">
        <v>223</v>
      </c>
      <c r="C30" s="161" t="s">
        <v>253</v>
      </c>
      <c r="D30" s="154"/>
      <c r="E30" s="154"/>
      <c r="F30" s="154"/>
      <c r="G30" s="154"/>
      <c r="H30" s="85"/>
      <c r="I30" s="85"/>
      <c r="J30" s="85"/>
      <c r="K30" s="85"/>
      <c r="L30" s="85"/>
      <c r="M30" s="85"/>
      <c r="N30" s="85"/>
      <c r="O30" s="85"/>
      <c r="P30" s="85"/>
      <c r="Q30" s="85"/>
      <c r="R30" s="85"/>
      <c r="S30" s="155"/>
      <c r="T30" s="155"/>
      <c r="U30" s="155"/>
      <c r="V30" s="155"/>
    </row>
    <row r="31" spans="1:22" s="148" customFormat="1" ht="51.75" customHeight="1" x14ac:dyDescent="0.2">
      <c r="A31" s="71" t="s">
        <v>27</v>
      </c>
      <c r="B31" s="73" t="s">
        <v>224</v>
      </c>
      <c r="C31" s="161" t="s">
        <v>253</v>
      </c>
      <c r="D31" s="154"/>
      <c r="E31" s="154"/>
      <c r="F31" s="154"/>
      <c r="G31" s="154"/>
      <c r="H31" s="85"/>
      <c r="I31" s="85"/>
      <c r="J31" s="85"/>
      <c r="K31" s="85"/>
      <c r="L31" s="85"/>
      <c r="M31" s="85"/>
      <c r="N31" s="85"/>
      <c r="O31" s="85"/>
      <c r="P31" s="85"/>
      <c r="Q31" s="85"/>
      <c r="R31" s="85"/>
      <c r="S31" s="155"/>
      <c r="T31" s="155"/>
      <c r="U31" s="155"/>
      <c r="V31" s="155"/>
    </row>
    <row r="32" spans="1:22" s="148" customFormat="1" ht="51.75" customHeight="1" x14ac:dyDescent="0.2">
      <c r="A32" s="71" t="s">
        <v>25</v>
      </c>
      <c r="B32" s="73" t="s">
        <v>225</v>
      </c>
      <c r="C32" s="161" t="s">
        <v>465</v>
      </c>
      <c r="D32" s="154"/>
      <c r="E32" s="154"/>
      <c r="F32" s="154"/>
      <c r="G32" s="154"/>
      <c r="H32" s="85"/>
      <c r="I32" s="85"/>
      <c r="J32" s="85"/>
      <c r="K32" s="85"/>
      <c r="L32" s="85"/>
      <c r="M32" s="85"/>
      <c r="N32" s="85"/>
      <c r="O32" s="85"/>
      <c r="P32" s="85"/>
      <c r="Q32" s="85"/>
      <c r="R32" s="85"/>
      <c r="S32" s="155"/>
      <c r="T32" s="155"/>
      <c r="U32" s="155"/>
      <c r="V32" s="155"/>
    </row>
    <row r="33" spans="1:22" s="148" customFormat="1" ht="101.25" customHeight="1" x14ac:dyDescent="0.2">
      <c r="A33" s="71" t="s">
        <v>24</v>
      </c>
      <c r="B33" s="73" t="s">
        <v>226</v>
      </c>
      <c r="C33" s="161" t="s">
        <v>479</v>
      </c>
      <c r="D33" s="154"/>
      <c r="E33" s="154"/>
      <c r="F33" s="154"/>
      <c r="G33" s="154"/>
      <c r="H33" s="85"/>
      <c r="I33" s="85"/>
      <c r="J33" s="85"/>
      <c r="K33" s="85"/>
      <c r="L33" s="85"/>
      <c r="M33" s="85"/>
      <c r="N33" s="85"/>
      <c r="O33" s="85"/>
      <c r="P33" s="85"/>
      <c r="Q33" s="85"/>
      <c r="R33" s="85"/>
      <c r="S33" s="155"/>
      <c r="T33" s="155"/>
      <c r="U33" s="155"/>
      <c r="V33" s="155"/>
    </row>
    <row r="34" spans="1:22" ht="111" customHeight="1" x14ac:dyDescent="0.25">
      <c r="A34" s="71" t="s">
        <v>234</v>
      </c>
      <c r="B34" s="73" t="s">
        <v>227</v>
      </c>
      <c r="C34" s="161" t="s">
        <v>253</v>
      </c>
      <c r="D34" s="135"/>
      <c r="E34" s="135"/>
      <c r="F34" s="135"/>
      <c r="G34" s="135"/>
      <c r="H34" s="135"/>
      <c r="I34" s="135"/>
      <c r="J34" s="135"/>
      <c r="K34" s="135"/>
      <c r="L34" s="135"/>
      <c r="M34" s="135"/>
      <c r="N34" s="135"/>
      <c r="O34" s="135"/>
      <c r="P34" s="135"/>
      <c r="Q34" s="135"/>
      <c r="R34" s="135"/>
      <c r="S34" s="135"/>
      <c r="T34" s="135"/>
      <c r="U34" s="135"/>
      <c r="V34" s="135"/>
    </row>
    <row r="35" spans="1:22" ht="58.5" customHeight="1" x14ac:dyDescent="0.25">
      <c r="A35" s="71" t="s">
        <v>230</v>
      </c>
      <c r="B35" s="73" t="s">
        <v>26</v>
      </c>
      <c r="C35" s="161" t="s">
        <v>253</v>
      </c>
      <c r="D35" s="135"/>
      <c r="E35" s="135"/>
      <c r="F35" s="135"/>
      <c r="G35" s="135"/>
      <c r="H35" s="135"/>
      <c r="I35" s="135"/>
      <c r="J35" s="135"/>
      <c r="K35" s="135"/>
      <c r="L35" s="135"/>
      <c r="M35" s="135"/>
      <c r="N35" s="135"/>
      <c r="O35" s="135"/>
      <c r="P35" s="135"/>
      <c r="Q35" s="135"/>
      <c r="R35" s="135"/>
      <c r="S35" s="135"/>
      <c r="T35" s="135"/>
      <c r="U35" s="135"/>
      <c r="V35" s="135"/>
    </row>
    <row r="36" spans="1:22" ht="51.75" customHeight="1" x14ac:dyDescent="0.25">
      <c r="A36" s="71" t="s">
        <v>235</v>
      </c>
      <c r="B36" s="73" t="s">
        <v>228</v>
      </c>
      <c r="C36" s="161" t="s">
        <v>253</v>
      </c>
      <c r="D36" s="135"/>
      <c r="E36" s="135"/>
      <c r="F36" s="135"/>
      <c r="G36" s="135"/>
      <c r="H36" s="135"/>
      <c r="I36" s="135"/>
      <c r="J36" s="135"/>
      <c r="K36" s="135"/>
      <c r="L36" s="135"/>
      <c r="M36" s="135"/>
      <c r="N36" s="135"/>
      <c r="O36" s="135"/>
      <c r="P36" s="135"/>
      <c r="Q36" s="135"/>
      <c r="R36" s="135"/>
      <c r="S36" s="135"/>
      <c r="T36" s="135"/>
      <c r="U36" s="135"/>
      <c r="V36" s="135"/>
    </row>
    <row r="37" spans="1:22" ht="43.5" customHeight="1" x14ac:dyDescent="0.25">
      <c r="A37" s="71" t="s">
        <v>231</v>
      </c>
      <c r="B37" s="73" t="s">
        <v>229</v>
      </c>
      <c r="C37" s="161" t="s">
        <v>465</v>
      </c>
      <c r="D37" s="135"/>
      <c r="E37" s="135"/>
      <c r="F37" s="135"/>
      <c r="G37" s="135"/>
      <c r="H37" s="135"/>
      <c r="I37" s="135"/>
      <c r="J37" s="135"/>
      <c r="K37" s="135"/>
      <c r="L37" s="135"/>
      <c r="M37" s="135"/>
      <c r="N37" s="135"/>
      <c r="O37" s="135"/>
      <c r="P37" s="135"/>
      <c r="Q37" s="135"/>
      <c r="R37" s="135"/>
      <c r="S37" s="135"/>
      <c r="T37" s="135"/>
      <c r="U37" s="135"/>
      <c r="V37" s="135"/>
    </row>
    <row r="38" spans="1:22" ht="43.5" customHeight="1" x14ac:dyDescent="0.25">
      <c r="A38" s="71" t="s">
        <v>236</v>
      </c>
      <c r="B38" s="73" t="s">
        <v>139</v>
      </c>
      <c r="C38" s="161" t="s">
        <v>253</v>
      </c>
      <c r="D38" s="135"/>
      <c r="E38" s="135"/>
      <c r="F38" s="135"/>
      <c r="G38" s="135"/>
      <c r="H38" s="135"/>
      <c r="I38" s="135"/>
      <c r="J38" s="135"/>
      <c r="K38" s="135"/>
      <c r="L38" s="135"/>
      <c r="M38" s="135"/>
      <c r="N38" s="135"/>
      <c r="O38" s="135"/>
      <c r="P38" s="135"/>
      <c r="Q38" s="135"/>
      <c r="R38" s="135"/>
      <c r="S38" s="135"/>
      <c r="T38" s="135"/>
      <c r="U38" s="135"/>
      <c r="V38" s="135"/>
    </row>
    <row r="39" spans="1:22" ht="23.25" customHeight="1" x14ac:dyDescent="0.25">
      <c r="A39" s="206"/>
      <c r="B39" s="207"/>
      <c r="C39" s="208"/>
      <c r="D39" s="135"/>
      <c r="E39" s="135"/>
      <c r="F39" s="135"/>
      <c r="G39" s="135"/>
      <c r="H39" s="135"/>
      <c r="I39" s="135"/>
      <c r="J39" s="135"/>
      <c r="K39" s="135"/>
      <c r="L39" s="135"/>
      <c r="M39" s="135"/>
      <c r="N39" s="135"/>
      <c r="O39" s="135"/>
      <c r="P39" s="135"/>
      <c r="Q39" s="135"/>
      <c r="R39" s="135"/>
      <c r="S39" s="135"/>
      <c r="T39" s="135"/>
      <c r="U39" s="135"/>
      <c r="V39" s="135"/>
    </row>
    <row r="40" spans="1:22" ht="101.25" customHeight="1" x14ac:dyDescent="0.25">
      <c r="A40" s="71" t="s">
        <v>232</v>
      </c>
      <c r="B40" s="73" t="s">
        <v>462</v>
      </c>
      <c r="C40" s="161" t="s">
        <v>480</v>
      </c>
      <c r="D40" s="135"/>
      <c r="E40" s="135"/>
      <c r="F40" s="135"/>
      <c r="G40" s="135"/>
      <c r="H40" s="135"/>
      <c r="I40" s="135"/>
      <c r="J40" s="135"/>
      <c r="K40" s="135"/>
      <c r="L40" s="135"/>
      <c r="M40" s="135"/>
      <c r="N40" s="135"/>
      <c r="O40" s="135"/>
      <c r="P40" s="135"/>
      <c r="Q40" s="135"/>
      <c r="R40" s="135"/>
      <c r="S40" s="135"/>
      <c r="T40" s="135"/>
      <c r="U40" s="135"/>
      <c r="V40" s="135"/>
    </row>
    <row r="41" spans="1:22" ht="101.25" customHeight="1" x14ac:dyDescent="0.25">
      <c r="A41" s="74" t="s">
        <v>237</v>
      </c>
      <c r="B41" s="75" t="s">
        <v>290</v>
      </c>
      <c r="C41" s="161" t="s">
        <v>253</v>
      </c>
      <c r="D41" s="135"/>
      <c r="E41" s="135"/>
      <c r="F41" s="135"/>
      <c r="G41" s="135"/>
      <c r="H41" s="135"/>
      <c r="I41" s="135"/>
      <c r="J41" s="135"/>
      <c r="K41" s="135"/>
      <c r="L41" s="135"/>
      <c r="M41" s="135"/>
      <c r="N41" s="135"/>
      <c r="O41" s="135"/>
      <c r="P41" s="135"/>
      <c r="Q41" s="135"/>
      <c r="R41" s="135"/>
      <c r="S41" s="135"/>
      <c r="T41" s="135"/>
      <c r="U41" s="135"/>
      <c r="V41" s="135"/>
    </row>
    <row r="42" spans="1:22" ht="101.25" customHeight="1" x14ac:dyDescent="0.25">
      <c r="A42" s="74" t="s">
        <v>233</v>
      </c>
      <c r="B42" s="75" t="s">
        <v>291</v>
      </c>
      <c r="C42" s="161" t="s">
        <v>481</v>
      </c>
      <c r="D42" s="135"/>
      <c r="E42" s="135"/>
      <c r="F42" s="135"/>
      <c r="G42" s="135"/>
      <c r="H42" s="135"/>
      <c r="I42" s="135"/>
      <c r="J42" s="135"/>
      <c r="K42" s="135"/>
      <c r="L42" s="135"/>
      <c r="M42" s="135"/>
      <c r="N42" s="135"/>
      <c r="O42" s="135"/>
      <c r="P42" s="135"/>
      <c r="Q42" s="135"/>
      <c r="R42" s="135"/>
      <c r="S42" s="135"/>
      <c r="T42" s="135"/>
      <c r="U42" s="135"/>
      <c r="V42" s="135"/>
    </row>
    <row r="43" spans="1:22" ht="192" customHeight="1" x14ac:dyDescent="0.25">
      <c r="A43" s="74" t="s">
        <v>256</v>
      </c>
      <c r="B43" s="75" t="s">
        <v>292</v>
      </c>
      <c r="C43" s="161" t="s">
        <v>253</v>
      </c>
      <c r="D43" s="135"/>
      <c r="E43" s="135"/>
      <c r="F43" s="135"/>
      <c r="G43" s="135"/>
      <c r="H43" s="135"/>
      <c r="I43" s="135"/>
      <c r="J43" s="135"/>
      <c r="K43" s="135"/>
      <c r="L43" s="135"/>
      <c r="M43" s="135"/>
      <c r="N43" s="135"/>
      <c r="O43" s="135"/>
      <c r="P43" s="135"/>
      <c r="Q43" s="135"/>
      <c r="R43" s="135"/>
      <c r="S43" s="135"/>
      <c r="T43" s="135"/>
      <c r="U43" s="135"/>
      <c r="V43" s="135"/>
    </row>
    <row r="44" spans="1:22" ht="101.25" customHeight="1" x14ac:dyDescent="0.25">
      <c r="A44" s="74" t="s">
        <v>265</v>
      </c>
      <c r="B44" s="75" t="s">
        <v>293</v>
      </c>
      <c r="C44" s="161" t="s">
        <v>253</v>
      </c>
      <c r="D44" s="135"/>
      <c r="E44" s="135"/>
      <c r="F44" s="135"/>
      <c r="G44" s="135"/>
      <c r="H44" s="135"/>
      <c r="I44" s="135"/>
      <c r="J44" s="135"/>
      <c r="K44" s="135"/>
      <c r="L44" s="135"/>
      <c r="M44" s="135"/>
      <c r="N44" s="135"/>
      <c r="O44" s="135"/>
      <c r="P44" s="135"/>
      <c r="Q44" s="135"/>
      <c r="R44" s="135"/>
      <c r="S44" s="135"/>
      <c r="T44" s="135"/>
      <c r="U44" s="135"/>
      <c r="V44" s="135"/>
    </row>
    <row r="45" spans="1:22" ht="101.25" customHeight="1" x14ac:dyDescent="0.25">
      <c r="A45" s="74" t="s">
        <v>294</v>
      </c>
      <c r="B45" s="75" t="s">
        <v>295</v>
      </c>
      <c r="C45" s="161" t="s">
        <v>253</v>
      </c>
      <c r="D45" s="135"/>
      <c r="E45" s="135"/>
      <c r="F45" s="135"/>
      <c r="G45" s="135"/>
      <c r="H45" s="135"/>
      <c r="I45" s="135"/>
      <c r="J45" s="135"/>
      <c r="K45" s="135"/>
      <c r="L45" s="135"/>
      <c r="M45" s="135"/>
      <c r="N45" s="135"/>
      <c r="O45" s="135"/>
      <c r="P45" s="135"/>
      <c r="Q45" s="135"/>
      <c r="R45" s="135"/>
      <c r="S45" s="135"/>
      <c r="T45" s="135"/>
      <c r="U45" s="135"/>
      <c r="V45" s="135"/>
    </row>
    <row r="46" spans="1:22" ht="101.25" customHeight="1" x14ac:dyDescent="0.25">
      <c r="A46" s="74" t="s">
        <v>296</v>
      </c>
      <c r="B46" s="75" t="s">
        <v>246</v>
      </c>
      <c r="C46" s="161" t="s">
        <v>482</v>
      </c>
      <c r="D46" s="135"/>
      <c r="E46" s="135"/>
      <c r="F46" s="135"/>
      <c r="G46" s="135"/>
      <c r="H46" s="135"/>
      <c r="I46" s="135"/>
      <c r="J46" s="135"/>
      <c r="K46" s="135"/>
      <c r="L46" s="135"/>
      <c r="M46" s="135"/>
      <c r="N46" s="135"/>
      <c r="O46" s="135"/>
      <c r="P46" s="135"/>
      <c r="Q46" s="135"/>
      <c r="R46" s="135"/>
      <c r="S46" s="135"/>
      <c r="T46" s="135"/>
      <c r="U46" s="135"/>
      <c r="V46" s="135"/>
    </row>
    <row r="47" spans="1:22" ht="31.5" customHeight="1" x14ac:dyDescent="0.25">
      <c r="A47" s="74"/>
      <c r="B47" s="75"/>
      <c r="C47" s="76"/>
      <c r="D47" s="135"/>
      <c r="E47" s="135"/>
      <c r="F47" s="135"/>
      <c r="G47" s="135"/>
      <c r="H47" s="135"/>
      <c r="I47" s="135"/>
      <c r="J47" s="135"/>
      <c r="K47" s="135"/>
      <c r="L47" s="135"/>
      <c r="M47" s="135"/>
      <c r="N47" s="135"/>
      <c r="O47" s="135"/>
      <c r="P47" s="135"/>
      <c r="Q47" s="135"/>
      <c r="R47" s="135"/>
      <c r="S47" s="135"/>
      <c r="T47" s="135"/>
      <c r="U47" s="135"/>
      <c r="V47" s="135"/>
    </row>
    <row r="48" spans="1:22" ht="73.5" customHeight="1" x14ac:dyDescent="0.25">
      <c r="A48" s="74" t="s">
        <v>297</v>
      </c>
      <c r="B48" s="75" t="s">
        <v>249</v>
      </c>
      <c r="C48" s="191">
        <f>'6.2. Паспорт фин осв ввод'!D24</f>
        <v>0</v>
      </c>
      <c r="D48" s="135"/>
      <c r="E48" s="135"/>
      <c r="F48" s="135"/>
      <c r="G48" s="135"/>
      <c r="H48" s="135"/>
      <c r="I48" s="135"/>
      <c r="J48" s="135"/>
      <c r="K48" s="135"/>
      <c r="L48" s="135"/>
      <c r="M48" s="135"/>
      <c r="N48" s="135"/>
      <c r="O48" s="135"/>
      <c r="P48" s="135"/>
      <c r="Q48" s="135"/>
      <c r="R48" s="135"/>
      <c r="S48" s="135"/>
      <c r="T48" s="135"/>
      <c r="U48" s="135"/>
      <c r="V48" s="135"/>
    </row>
    <row r="49" spans="1:22" ht="81" customHeight="1" x14ac:dyDescent="0.25">
      <c r="A49" s="74" t="s">
        <v>298</v>
      </c>
      <c r="B49" s="75" t="s">
        <v>250</v>
      </c>
      <c r="C49" s="191">
        <f>'6.2. Паспорт фин осв ввод'!D30</f>
        <v>3.0181889999999999E-2</v>
      </c>
      <c r="D49" s="135"/>
      <c r="E49" s="135"/>
      <c r="F49" s="135"/>
      <c r="G49" s="135"/>
      <c r="H49" s="135"/>
      <c r="I49" s="135"/>
      <c r="J49" s="135"/>
      <c r="K49" s="135"/>
      <c r="L49" s="135"/>
      <c r="M49" s="135"/>
      <c r="N49" s="135"/>
      <c r="O49" s="135"/>
      <c r="P49" s="135"/>
      <c r="Q49" s="135"/>
      <c r="R49" s="135"/>
      <c r="S49" s="135"/>
      <c r="T49" s="135"/>
      <c r="U49" s="135"/>
      <c r="V49" s="135"/>
    </row>
    <row r="50" spans="1:22"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row>
    <row r="51" spans="1:22"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row>
    <row r="52" spans="1:22"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row>
    <row r="53" spans="1:22"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row>
    <row r="54" spans="1:22"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row>
    <row r="55" spans="1:22"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row>
    <row r="56" spans="1:22"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row>
    <row r="57" spans="1:22"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row>
    <row r="58" spans="1:22"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row>
    <row r="59" spans="1:22"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row>
    <row r="60" spans="1:22"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row>
    <row r="61" spans="1:22"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row>
    <row r="62" spans="1:22"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row>
    <row r="63" spans="1:22"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row>
    <row r="64" spans="1:22"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row>
    <row r="65" spans="1:22"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row>
    <row r="66" spans="1:22"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row>
    <row r="67" spans="1:22"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row>
    <row r="68" spans="1:22"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row>
    <row r="69" spans="1:22"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row>
    <row r="70" spans="1:22"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row>
    <row r="71" spans="1:22"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row>
    <row r="72" spans="1:22"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row>
    <row r="73" spans="1:22"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row>
    <row r="74" spans="1:22"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row>
    <row r="75" spans="1:22"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row>
    <row r="76" spans="1:22"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row>
    <row r="77" spans="1:22"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row>
    <row r="78" spans="1:22"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row>
    <row r="79" spans="1:22"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row>
    <row r="80" spans="1:22"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row>
    <row r="81" spans="1:22"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row>
    <row r="82" spans="1:22"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row>
    <row r="83" spans="1:22"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row>
    <row r="84" spans="1:22"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row>
    <row r="85" spans="1:22"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row>
    <row r="86" spans="1:22"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row>
    <row r="87" spans="1:22"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row>
    <row r="88" spans="1:22"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row>
    <row r="89" spans="1:22"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row>
    <row r="90" spans="1:22"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row>
    <row r="91" spans="1:22"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row>
    <row r="92" spans="1:22"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row>
    <row r="93" spans="1:22"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row>
    <row r="94" spans="1:22"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row>
    <row r="95" spans="1:22"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row>
    <row r="96" spans="1:22"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row>
    <row r="97" spans="1:22"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row>
    <row r="98" spans="1:22"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row>
    <row r="99" spans="1:22"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row>
    <row r="100" spans="1:22"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row>
    <row r="101" spans="1:22"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row>
    <row r="102" spans="1:22"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row>
    <row r="103" spans="1:22"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row>
    <row r="104" spans="1:22"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row>
    <row r="105" spans="1:22"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row>
    <row r="106" spans="1:22"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row>
    <row r="107" spans="1:22"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row>
    <row r="108" spans="1:22"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row>
    <row r="109" spans="1:22"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row>
    <row r="110" spans="1:22"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row>
    <row r="111" spans="1:22"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row>
    <row r="112" spans="1:22"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row>
    <row r="113" spans="1:22"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row>
    <row r="114" spans="1:22"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row>
    <row r="115" spans="1:22"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row>
    <row r="116" spans="1:22"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row>
    <row r="117" spans="1:22"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row>
    <row r="118" spans="1:22"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row>
    <row r="119" spans="1:22"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row>
    <row r="120" spans="1:22"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row>
    <row r="121" spans="1:22"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row>
    <row r="122" spans="1:22"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row>
    <row r="123" spans="1:22"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row>
    <row r="124" spans="1:22"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row>
    <row r="125" spans="1:22"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row>
    <row r="126" spans="1:22"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row>
    <row r="127" spans="1:22"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row>
    <row r="128" spans="1:22"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row>
    <row r="129" spans="1:22"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row>
    <row r="130" spans="1:22"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row>
    <row r="131" spans="1:22"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row>
    <row r="132" spans="1:22"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row>
    <row r="133" spans="1:22"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row>
    <row r="134" spans="1:22"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row>
    <row r="135" spans="1:22"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row>
    <row r="136" spans="1:22"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row>
    <row r="137" spans="1:22"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row>
    <row r="138" spans="1:22"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row>
    <row r="139" spans="1:22"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row>
    <row r="140" spans="1:22"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row>
    <row r="141" spans="1:22"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row>
    <row r="142" spans="1:22"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row>
    <row r="143" spans="1:22"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row>
    <row r="144" spans="1:22"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row>
    <row r="145" spans="1:22"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row>
    <row r="146" spans="1:22"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row>
    <row r="147" spans="1:22"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row>
    <row r="148" spans="1:22"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row>
    <row r="149" spans="1:22"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row>
    <row r="150" spans="1:22"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row>
    <row r="151" spans="1:22"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row>
    <row r="152" spans="1:22"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row>
    <row r="153" spans="1:22"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row>
    <row r="154" spans="1:22"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row>
    <row r="155" spans="1:22"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row>
    <row r="156" spans="1:22"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row>
    <row r="157" spans="1:22"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row>
    <row r="158" spans="1:22"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row>
    <row r="159" spans="1:22"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row>
    <row r="160" spans="1:22"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row>
    <row r="161" spans="1:22"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row>
    <row r="162" spans="1:22"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row>
    <row r="163" spans="1:22"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row>
    <row r="164" spans="1:22"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row>
    <row r="165" spans="1:22"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row>
    <row r="166" spans="1:22"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row>
    <row r="167" spans="1:22"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row>
    <row r="168" spans="1:22"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row>
    <row r="169" spans="1:22"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row>
    <row r="170" spans="1:22"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row>
    <row r="171" spans="1:22"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row>
    <row r="172" spans="1:22"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row>
    <row r="173" spans="1:22"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row>
    <row r="174" spans="1:22"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row>
    <row r="175" spans="1:22"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row>
    <row r="176" spans="1:22"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row>
    <row r="177" spans="1:22"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row>
    <row r="178" spans="1:22"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row>
    <row r="179" spans="1:22"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row>
    <row r="180" spans="1:22"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row>
    <row r="181" spans="1:22"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row>
    <row r="182" spans="1:22"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row>
    <row r="183" spans="1:22"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row>
    <row r="184" spans="1:22"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row>
    <row r="185" spans="1:22"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row>
    <row r="186" spans="1:22"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row>
    <row r="187" spans="1:22"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row>
    <row r="188" spans="1:22"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row>
    <row r="189" spans="1:22"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row>
    <row r="190" spans="1:22"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row>
    <row r="191" spans="1:22"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row>
    <row r="192" spans="1:22"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row>
    <row r="193" spans="1:22"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row>
    <row r="194" spans="1:22"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row>
    <row r="195" spans="1:22"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row>
    <row r="196" spans="1:22"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row>
    <row r="197" spans="1:22"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row>
    <row r="198" spans="1:22"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row>
    <row r="199" spans="1:22"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row>
    <row r="200" spans="1:22"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row>
    <row r="201" spans="1:22"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row>
    <row r="202" spans="1:22"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row>
    <row r="203" spans="1:22"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row>
    <row r="204" spans="1:22"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row>
    <row r="205" spans="1:22"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row>
    <row r="206" spans="1:22"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row>
    <row r="207" spans="1:22"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row>
    <row r="208" spans="1:22"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row>
    <row r="209" spans="1:22"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row>
    <row r="210" spans="1:22"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row>
    <row r="211" spans="1:22"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row>
    <row r="212" spans="1:22"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row>
    <row r="213" spans="1:22"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row>
    <row r="214" spans="1:22"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row>
    <row r="215" spans="1:22"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row>
    <row r="216" spans="1:22"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row>
    <row r="217" spans="1:22"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row>
    <row r="218" spans="1:22"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row>
    <row r="219" spans="1:22"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row>
    <row r="220" spans="1:22"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row>
    <row r="221" spans="1:22"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row>
    <row r="222" spans="1:22"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row>
    <row r="223" spans="1:22"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row>
    <row r="224" spans="1:22"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row>
    <row r="225" spans="1:22"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row>
    <row r="226" spans="1:22"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row>
    <row r="227" spans="1:22"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row>
    <row r="228" spans="1:22"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row>
    <row r="229" spans="1:22"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row>
    <row r="230" spans="1:22"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row>
    <row r="231" spans="1:22"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row>
    <row r="232" spans="1:22"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row>
    <row r="233" spans="1:22"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row>
    <row r="234" spans="1:22"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row>
    <row r="235" spans="1:22"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row>
    <row r="236" spans="1:22"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row>
    <row r="237" spans="1:22"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row>
    <row r="238" spans="1:22"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row>
    <row r="239" spans="1:22"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row>
    <row r="240" spans="1:22"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row>
    <row r="241" spans="1:22"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row>
    <row r="242" spans="1:22"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row>
    <row r="243" spans="1:22"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row>
    <row r="244" spans="1:22"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row>
    <row r="245" spans="1:22"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row>
    <row r="246" spans="1:22"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row>
    <row r="247" spans="1:22"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row>
    <row r="248" spans="1:22"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row>
    <row r="249" spans="1:22"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row>
    <row r="250" spans="1:22"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row>
    <row r="251" spans="1:22"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row>
    <row r="252" spans="1:22"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row>
    <row r="253" spans="1:22"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row>
    <row r="254" spans="1:22"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row>
    <row r="255" spans="1:22"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row>
    <row r="256" spans="1:22"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row>
    <row r="257" spans="1:22"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row>
    <row r="258" spans="1:22"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row>
    <row r="259" spans="1:22"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row>
    <row r="260" spans="1:22"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row>
    <row r="261" spans="1:22"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row>
    <row r="262" spans="1:22"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row>
    <row r="263" spans="1:22"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row>
    <row r="264" spans="1:22"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row>
    <row r="265" spans="1:22"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row>
    <row r="266" spans="1:22"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row>
    <row r="267" spans="1:22"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row>
    <row r="268" spans="1:22"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row>
    <row r="269" spans="1:22"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row>
    <row r="270" spans="1:22"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row>
    <row r="271" spans="1:22"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row>
    <row r="272" spans="1:22"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row>
    <row r="273" spans="1:22"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row>
    <row r="274" spans="1:22"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row>
    <row r="275" spans="1:22"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row>
    <row r="276" spans="1:22"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row>
    <row r="277" spans="1:22"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row>
    <row r="278" spans="1:22"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row>
    <row r="279" spans="1:22"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row>
    <row r="280" spans="1:22"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row>
    <row r="281" spans="1:22"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row>
    <row r="282" spans="1:22"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row>
    <row r="283" spans="1:22"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row>
    <row r="284" spans="1:22"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row>
    <row r="285" spans="1:22"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row>
    <row r="286" spans="1:22"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row>
    <row r="287" spans="1:22"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row>
    <row r="288" spans="1:22"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row>
    <row r="289" spans="1:22"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row>
    <row r="290" spans="1:22"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row>
    <row r="291" spans="1:22"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row>
    <row r="292" spans="1:22"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row>
    <row r="293" spans="1:22"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row>
    <row r="294" spans="1:22"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row>
    <row r="295" spans="1:22"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row>
    <row r="296" spans="1:22"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row>
    <row r="297" spans="1:22"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row>
    <row r="298" spans="1:22"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row>
    <row r="299" spans="1:22"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row>
    <row r="300" spans="1:22"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row>
    <row r="301" spans="1:22"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row>
    <row r="302" spans="1:22"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row>
    <row r="303" spans="1:22"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row>
    <row r="304" spans="1:22"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row>
    <row r="305" spans="1:22"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row>
    <row r="306" spans="1:22"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row>
    <row r="307" spans="1:22"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row>
    <row r="308" spans="1:22"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row>
    <row r="309" spans="1:22"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row>
    <row r="310" spans="1:22"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row>
    <row r="311" spans="1:22"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row>
    <row r="312" spans="1:22"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row>
    <row r="313" spans="1:22"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row>
    <row r="314" spans="1:22"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row>
    <row r="315" spans="1:22"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row>
    <row r="316" spans="1:22"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row>
    <row r="317" spans="1:22"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row>
    <row r="318" spans="1:22"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row>
    <row r="319" spans="1:22"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row>
    <row r="320" spans="1:22"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row>
    <row r="321" spans="1:22"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row>
    <row r="322" spans="1:22"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row>
    <row r="323" spans="1:22"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row>
    <row r="324" spans="1:22"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row>
    <row r="325" spans="1:22"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row>
    <row r="326" spans="1:22"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row>
    <row r="327" spans="1:22"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row>
    <row r="328" spans="1:22"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row>
    <row r="329" spans="1:22"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row>
    <row r="330" spans="1:22"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row>
    <row r="331" spans="1:22"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row>
    <row r="332" spans="1:22"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row>
    <row r="333" spans="1:22"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row>
    <row r="334" spans="1:22"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60" zoomScaleNormal="60" workbookViewId="0">
      <selection activeCell="W44" sqref="W44"/>
    </sheetView>
  </sheetViews>
  <sheetFormatPr defaultRowHeight="15.75" x14ac:dyDescent="0.25"/>
  <cols>
    <col min="1" max="1" width="9.140625" style="7"/>
    <col min="2" max="2" width="57.85546875" style="7" customWidth="1"/>
    <col min="3" max="3" width="15.42578125" style="7" customWidth="1"/>
    <col min="4" max="4" width="17.85546875" style="7" customWidth="1"/>
    <col min="5" max="5" width="20.42578125" style="7" customWidth="1"/>
    <col min="6" max="6" width="18.7109375" style="7" customWidth="1"/>
    <col min="7" max="7" width="12.85546875" style="7" customWidth="1"/>
    <col min="8" max="11" width="6.7109375" style="7" customWidth="1"/>
    <col min="12" max="16384" width="9.140625" style="7"/>
  </cols>
  <sheetData>
    <row r="4" spans="1:11" ht="18.75" customHeight="1" x14ac:dyDescent="0.25">
      <c r="A4" s="209" t="str">
        <f>'1. паспорт местоположение'!$A$5</f>
        <v>Год раскрытия информации: 2019 год</v>
      </c>
      <c r="B4" s="209"/>
      <c r="C4" s="209"/>
      <c r="D4" s="209"/>
      <c r="E4" s="209"/>
      <c r="F4" s="209"/>
      <c r="G4" s="209"/>
      <c r="H4" s="209"/>
      <c r="I4" s="209"/>
      <c r="J4" s="209"/>
      <c r="K4" s="209"/>
    </row>
    <row r="6" spans="1:11" ht="18.75" x14ac:dyDescent="0.25">
      <c r="A6" s="213" t="s">
        <v>6</v>
      </c>
      <c r="B6" s="213"/>
      <c r="C6" s="213"/>
      <c r="D6" s="213"/>
      <c r="E6" s="213"/>
      <c r="F6" s="213"/>
      <c r="G6" s="213"/>
      <c r="H6" s="213"/>
      <c r="I6" s="213"/>
      <c r="J6" s="213"/>
      <c r="K6" s="213"/>
    </row>
    <row r="7" spans="1:11" ht="18.75" x14ac:dyDescent="0.25">
      <c r="A7" s="95"/>
      <c r="B7" s="95"/>
      <c r="C7" s="95"/>
      <c r="D7" s="95"/>
      <c r="E7" s="95"/>
      <c r="F7" s="95"/>
      <c r="G7" s="95"/>
      <c r="H7" s="95"/>
      <c r="I7" s="95"/>
      <c r="J7" s="95"/>
      <c r="K7" s="95"/>
    </row>
    <row r="8" spans="1:11" x14ac:dyDescent="0.25">
      <c r="A8" s="214" t="s">
        <v>252</v>
      </c>
      <c r="B8" s="214"/>
      <c r="C8" s="214"/>
      <c r="D8" s="214"/>
      <c r="E8" s="214"/>
      <c r="F8" s="214"/>
      <c r="G8" s="214"/>
      <c r="H8" s="214"/>
      <c r="I8" s="214"/>
      <c r="J8" s="214"/>
      <c r="K8" s="214"/>
    </row>
    <row r="9" spans="1:11" ht="18.75" customHeight="1" x14ac:dyDescent="0.25">
      <c r="A9" s="215" t="s">
        <v>5</v>
      </c>
      <c r="B9" s="215"/>
      <c r="C9" s="215"/>
      <c r="D9" s="215"/>
      <c r="E9" s="215"/>
      <c r="F9" s="215"/>
      <c r="G9" s="215"/>
      <c r="H9" s="215"/>
      <c r="I9" s="215"/>
      <c r="J9" s="215"/>
      <c r="K9" s="215"/>
    </row>
    <row r="10" spans="1:11" ht="18.75" x14ac:dyDescent="0.25">
      <c r="A10" s="95"/>
      <c r="B10" s="95"/>
      <c r="C10" s="95"/>
      <c r="D10" s="95"/>
      <c r="E10" s="95"/>
      <c r="F10" s="95"/>
      <c r="G10" s="95"/>
      <c r="H10" s="95"/>
      <c r="I10" s="95"/>
      <c r="J10" s="95"/>
      <c r="K10" s="95"/>
    </row>
    <row r="11" spans="1:11" x14ac:dyDescent="0.25">
      <c r="A11" s="214" t="str">
        <f>'6.1. Паспорт сетевой график'!A12:L12</f>
        <v>I_Che134</v>
      </c>
      <c r="B11" s="214"/>
      <c r="C11" s="214"/>
      <c r="D11" s="214"/>
      <c r="E11" s="214"/>
      <c r="F11" s="214"/>
      <c r="G11" s="214"/>
      <c r="H11" s="214"/>
      <c r="I11" s="214"/>
      <c r="J11" s="214"/>
      <c r="K11" s="214"/>
    </row>
    <row r="12" spans="1:11" x14ac:dyDescent="0.25">
      <c r="A12" s="215" t="s">
        <v>4</v>
      </c>
      <c r="B12" s="215"/>
      <c r="C12" s="215"/>
      <c r="D12" s="215"/>
      <c r="E12" s="215"/>
      <c r="F12" s="215"/>
      <c r="G12" s="215"/>
      <c r="H12" s="215"/>
      <c r="I12" s="215"/>
      <c r="J12" s="215"/>
      <c r="K12" s="215"/>
    </row>
    <row r="13" spans="1:11" ht="16.5" customHeight="1" x14ac:dyDescent="0.25">
      <c r="A13" s="1"/>
      <c r="B13" s="1"/>
      <c r="C13" s="1"/>
      <c r="D13" s="1"/>
      <c r="E13" s="1"/>
      <c r="F13" s="1"/>
      <c r="G13" s="1"/>
      <c r="H13" s="1"/>
      <c r="I13" s="1"/>
      <c r="J13" s="1"/>
      <c r="K13" s="1"/>
    </row>
    <row r="14" spans="1:11" ht="29.25" customHeight="1" x14ac:dyDescent="0.25">
      <c r="A14" s="214"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4" s="214"/>
      <c r="C14" s="214"/>
      <c r="D14" s="214"/>
      <c r="E14" s="214"/>
      <c r="F14" s="214"/>
      <c r="G14" s="214"/>
      <c r="H14" s="214"/>
      <c r="I14" s="214"/>
      <c r="J14" s="214"/>
      <c r="K14" s="214"/>
    </row>
    <row r="15" spans="1:11" ht="15.75" customHeight="1" x14ac:dyDescent="0.25">
      <c r="A15" s="215" t="s">
        <v>3</v>
      </c>
      <c r="B15" s="215"/>
      <c r="C15" s="215"/>
      <c r="D15" s="215"/>
      <c r="E15" s="215"/>
      <c r="F15" s="215"/>
      <c r="G15" s="215"/>
      <c r="H15" s="215"/>
      <c r="I15" s="215"/>
      <c r="J15" s="215"/>
      <c r="K15" s="215"/>
    </row>
    <row r="16" spans="1:11" x14ac:dyDescent="0.25">
      <c r="A16" s="279"/>
      <c r="B16" s="279"/>
      <c r="C16" s="279"/>
      <c r="D16" s="279"/>
      <c r="E16" s="279"/>
      <c r="F16" s="279"/>
      <c r="G16" s="279"/>
      <c r="H16" s="279"/>
      <c r="I16" s="279"/>
      <c r="J16" s="279"/>
      <c r="K16" s="279"/>
    </row>
    <row r="18" spans="1:11" x14ac:dyDescent="0.25">
      <c r="A18" s="280" t="s">
        <v>241</v>
      </c>
      <c r="B18" s="280"/>
      <c r="C18" s="280"/>
      <c r="D18" s="280"/>
      <c r="E18" s="280"/>
      <c r="F18" s="280"/>
      <c r="G18" s="280"/>
      <c r="H18" s="280"/>
      <c r="I18" s="280"/>
      <c r="J18" s="280"/>
      <c r="K18" s="280"/>
    </row>
    <row r="20" spans="1:11" ht="33" customHeight="1" x14ac:dyDescent="0.25">
      <c r="A20" s="281" t="s">
        <v>96</v>
      </c>
      <c r="B20" s="281" t="s">
        <v>95</v>
      </c>
      <c r="C20" s="273" t="s">
        <v>94</v>
      </c>
      <c r="D20" s="273"/>
      <c r="E20" s="272" t="s">
        <v>93</v>
      </c>
      <c r="F20" s="272"/>
      <c r="G20" s="281" t="s">
        <v>489</v>
      </c>
      <c r="H20" s="283" t="s">
        <v>466</v>
      </c>
      <c r="I20" s="283"/>
      <c r="J20" s="283"/>
      <c r="K20" s="283"/>
    </row>
    <row r="21" spans="1:11" ht="99.75" customHeight="1" x14ac:dyDescent="0.25">
      <c r="A21" s="282"/>
      <c r="B21" s="282"/>
      <c r="C21" s="273"/>
      <c r="D21" s="273"/>
      <c r="E21" s="272"/>
      <c r="F21" s="272"/>
      <c r="G21" s="282"/>
      <c r="H21" s="273" t="s">
        <v>1</v>
      </c>
      <c r="I21" s="273"/>
      <c r="J21" s="273" t="s">
        <v>444</v>
      </c>
      <c r="K21" s="273"/>
    </row>
    <row r="22" spans="1:11" ht="89.25" customHeight="1" x14ac:dyDescent="0.25">
      <c r="A22" s="278"/>
      <c r="B22" s="278"/>
      <c r="C22" s="205" t="s">
        <v>1</v>
      </c>
      <c r="D22" s="205" t="s">
        <v>444</v>
      </c>
      <c r="E22" s="15" t="s">
        <v>490</v>
      </c>
      <c r="F22" s="15" t="s">
        <v>491</v>
      </c>
      <c r="G22" s="278"/>
      <c r="H22" s="14" t="s">
        <v>492</v>
      </c>
      <c r="I22" s="14" t="s">
        <v>493</v>
      </c>
      <c r="J22" s="14" t="s">
        <v>492</v>
      </c>
      <c r="K22" s="14" t="s">
        <v>493</v>
      </c>
    </row>
    <row r="23" spans="1:11" ht="19.5" customHeight="1" x14ac:dyDescent="0.25">
      <c r="A23" s="88">
        <v>1</v>
      </c>
      <c r="B23" s="88">
        <v>2</v>
      </c>
      <c r="C23" s="204">
        <v>3</v>
      </c>
      <c r="D23" s="204">
        <v>4</v>
      </c>
      <c r="E23" s="204">
        <v>5</v>
      </c>
      <c r="F23" s="204">
        <v>6</v>
      </c>
      <c r="G23" s="204">
        <v>7</v>
      </c>
      <c r="H23" s="204">
        <v>8</v>
      </c>
      <c r="I23" s="204">
        <v>9</v>
      </c>
      <c r="J23" s="204">
        <v>10</v>
      </c>
      <c r="K23" s="204">
        <v>11</v>
      </c>
    </row>
    <row r="24" spans="1:11" s="96" customFormat="1" ht="47.25" customHeight="1" x14ac:dyDescent="0.25">
      <c r="A24" s="12">
        <v>1</v>
      </c>
      <c r="B24" s="11" t="s">
        <v>92</v>
      </c>
      <c r="C24" s="78">
        <f>VLOOKUP($A$11,'[1]6.2. отчет'!$D:$K,2,0)</f>
        <v>3.8745762711864404E-2</v>
      </c>
      <c r="D24" s="78">
        <f>VLOOKUP($A$11,'[1]6.2. отчет'!$D:$K,5,0)</f>
        <v>0</v>
      </c>
      <c r="E24" s="78">
        <f>VLOOKUP($A$11,'[1]6.2. отчет'!$D:$K,7,0)</f>
        <v>3.8745762711864404E-2</v>
      </c>
      <c r="F24" s="78">
        <f>VLOOKUP($A$11,'[1]6.2. отчет'!$D:$K,8,0)</f>
        <v>3.8745762711864404E-2</v>
      </c>
      <c r="G24" s="78">
        <f>VLOOKUP($A$11,'[1]6.2. отчет'!$D:$BL,9,0)</f>
        <v>0</v>
      </c>
      <c r="H24" s="78">
        <f>VLOOKUP($A$11,'[1]6.2. отчет'!$D:$BL,15,0)</f>
        <v>0</v>
      </c>
      <c r="I24" s="78">
        <f>VLOOKUP($A$11,'[1]6.2. отчет'!$D:$CU,45,0)</f>
        <v>0</v>
      </c>
      <c r="J24" s="78">
        <f>VLOOKUP($A$11,'[1]6.2. отчет'!$D:$BL,56,0)</f>
        <v>0</v>
      </c>
      <c r="K24" s="78">
        <f>VLOOKUP($A$11,'[1]6.2. отчет'!$D:$CU,86,0)</f>
        <v>0</v>
      </c>
    </row>
    <row r="25" spans="1:11" ht="24" customHeight="1" x14ac:dyDescent="0.25">
      <c r="A25" s="10" t="s">
        <v>91</v>
      </c>
      <c r="B25" s="6" t="s">
        <v>90</v>
      </c>
      <c r="C25" s="78">
        <f t="shared" ref="C25:C26" si="0">H25</f>
        <v>0</v>
      </c>
      <c r="D25" s="78">
        <f>G25+J25</f>
        <v>0</v>
      </c>
      <c r="E25" s="78">
        <f t="shared" ref="E25:E28" si="1">F25+G25</f>
        <v>0</v>
      </c>
      <c r="F25" s="78">
        <f t="shared" ref="F25:F26" si="2">J25</f>
        <v>0</v>
      </c>
      <c r="G25" s="78">
        <f>VLOOKUP($A$11,'[1]6.2. отчет'!$D:$BL,10,0)</f>
        <v>0</v>
      </c>
      <c r="H25" s="78">
        <f>VLOOKUP($A$11,'[1]6.2. отчет'!$D:$BL,16,0)</f>
        <v>0</v>
      </c>
      <c r="I25" s="78">
        <f>IF(H25=0,0,VLOOKUP($A$11,'[1]6.2. отчет'!$D:$CU,46,0))</f>
        <v>0</v>
      </c>
      <c r="J25" s="78">
        <f>VLOOKUP($A$11,'[1]6.2. отчет'!$D:$BL,57,0)</f>
        <v>0</v>
      </c>
      <c r="K25" s="78">
        <f>IF(J25=0,0,VLOOKUP($A$11,'[1]6.2. отчет'!$D:$CU,87,0))</f>
        <v>0</v>
      </c>
    </row>
    <row r="26" spans="1:11" x14ac:dyDescent="0.25">
      <c r="A26" s="10" t="s">
        <v>89</v>
      </c>
      <c r="B26" s="6" t="s">
        <v>88</v>
      </c>
      <c r="C26" s="78">
        <f t="shared" si="0"/>
        <v>0</v>
      </c>
      <c r="D26" s="78">
        <f>G26+J26</f>
        <v>0</v>
      </c>
      <c r="E26" s="78">
        <f t="shared" si="1"/>
        <v>0</v>
      </c>
      <c r="F26" s="78">
        <f t="shared" si="2"/>
        <v>0</v>
      </c>
      <c r="G26" s="78">
        <f>VLOOKUP($A$11,'[1]6.2. отчет'!$D:$BL,11,0)</f>
        <v>0</v>
      </c>
      <c r="H26" s="78">
        <f>VLOOKUP($A$11,'[1]6.2. отчет'!$D:$BL,17,0)</f>
        <v>0</v>
      </c>
      <c r="I26" s="78">
        <f>IF(H26=0,0,VLOOKUP($A$11,'[1]6.2. отчет'!$D:$CU,47,0))</f>
        <v>0</v>
      </c>
      <c r="J26" s="78">
        <f>VLOOKUP($A$11,'[1]6.2. отчет'!$D:$BL,58,0)</f>
        <v>0</v>
      </c>
      <c r="K26" s="78">
        <f>IF(J26=0,0,VLOOKUP($A$11,'[1]6.2. отчет'!$D:$CU,88,0))</f>
        <v>0</v>
      </c>
    </row>
    <row r="27" spans="1:11" ht="31.5" x14ac:dyDescent="0.25">
      <c r="A27" s="10" t="s">
        <v>87</v>
      </c>
      <c r="B27" s="6" t="s">
        <v>193</v>
      </c>
      <c r="C27" s="78">
        <f>IF(C24="нд","нд",C24-(C29+C28+C26+C25))</f>
        <v>3.8745762711864404E-2</v>
      </c>
      <c r="D27" s="78">
        <f>G27+J27+D24-(G24+J24)</f>
        <v>0</v>
      </c>
      <c r="E27" s="78">
        <f>F27+G27</f>
        <v>3.8745762711864404E-2</v>
      </c>
      <c r="F27" s="78">
        <f>F24-(F25+F26+F28+F29)</f>
        <v>3.8745762711864404E-2</v>
      </c>
      <c r="G27" s="78">
        <f>VLOOKUP($A$11,'[1]6.2. отчет'!$D:$BL,12,0)</f>
        <v>0</v>
      </c>
      <c r="H27" s="78">
        <f>VLOOKUP($A$11,'[1]6.2. отчет'!$D:$BL,18,0)</f>
        <v>0</v>
      </c>
      <c r="I27" s="78">
        <f>IF(H27=0,0,VLOOKUP($A$11,'[1]6.2. отчет'!$D:$CU,48,0))</f>
        <v>0</v>
      </c>
      <c r="J27" s="78">
        <f>VLOOKUP($A$11,'[1]6.2. отчет'!$D:$BL,59,0)</f>
        <v>0</v>
      </c>
      <c r="K27" s="78">
        <f>IF(J27=0,0,VLOOKUP($A$11,'[1]6.2. отчет'!$D:$CU,89,0))</f>
        <v>0</v>
      </c>
    </row>
    <row r="28" spans="1:11" x14ac:dyDescent="0.25">
      <c r="A28" s="10" t="s">
        <v>86</v>
      </c>
      <c r="B28" s="6" t="s">
        <v>85</v>
      </c>
      <c r="C28" s="78">
        <f>H28</f>
        <v>0</v>
      </c>
      <c r="D28" s="78">
        <f t="shared" ref="D28:D29" si="3">G28+J28</f>
        <v>0</v>
      </c>
      <c r="E28" s="78">
        <f t="shared" si="1"/>
        <v>0</v>
      </c>
      <c r="F28" s="78">
        <v>0</v>
      </c>
      <c r="G28" s="78">
        <f>VLOOKUP($A$11,'[1]6.2. отчет'!$D:$BL,13,0)</f>
        <v>0</v>
      </c>
      <c r="H28" s="78">
        <f>VLOOKUP($A$11,'[1]6.2. отчет'!$D:$BL,19,0)</f>
        <v>0</v>
      </c>
      <c r="I28" s="78">
        <f>IF(H28=0,0,VLOOKUP($A$11,'[1]6.2. отчет'!$D:$CU,49,0))</f>
        <v>0</v>
      </c>
      <c r="J28" s="78">
        <f>VLOOKUP($A$11,'[1]6.2. отчет'!$D:$BL,60,0)</f>
        <v>0</v>
      </c>
      <c r="K28" s="78">
        <f>IF(J28=0,0,VLOOKUP($A$11,'[1]6.2. отчет'!$D:$CU,90,0))</f>
        <v>0</v>
      </c>
    </row>
    <row r="29" spans="1:11" x14ac:dyDescent="0.25">
      <c r="A29" s="10" t="s">
        <v>84</v>
      </c>
      <c r="B29" s="13" t="s">
        <v>83</v>
      </c>
      <c r="C29" s="78">
        <f>H29</f>
        <v>0</v>
      </c>
      <c r="D29" s="78">
        <f t="shared" si="3"/>
        <v>0</v>
      </c>
      <c r="E29" s="78">
        <f>F29+G29</f>
        <v>0</v>
      </c>
      <c r="F29" s="78">
        <v>0</v>
      </c>
      <c r="G29" s="78">
        <f>VLOOKUP($A$11,'[1]6.2. отчет'!$D:$BL,14,0)</f>
        <v>0</v>
      </c>
      <c r="H29" s="78">
        <f>VLOOKUP($A$11,'[1]6.2. отчет'!$D:$BL,20,0)</f>
        <v>0</v>
      </c>
      <c r="I29" s="78">
        <f>IF(H29=0,0,VLOOKUP($A$11,'[1]6.2. отчет'!$D:$CU,50,0))</f>
        <v>0</v>
      </c>
      <c r="J29" s="78">
        <f>VLOOKUP($A$11,'[1]6.2. отчет'!$D:$BL,61,0)</f>
        <v>0</v>
      </c>
      <c r="K29" s="78">
        <f>IF(J29=0,0,VLOOKUP($A$11,'[1]6.2. отчет'!$D:$CU,91,0))</f>
        <v>0</v>
      </c>
    </row>
    <row r="30" spans="1:11" s="97" customFormat="1" ht="47.25" x14ac:dyDescent="0.25">
      <c r="A30" s="12" t="s">
        <v>18</v>
      </c>
      <c r="B30" s="11" t="s">
        <v>82</v>
      </c>
      <c r="C30" s="78">
        <f>VLOOKUP($A$11,'[1]6.2. отчет'!$D:$DB,99,0)</f>
        <v>3.2288135593220336E-2</v>
      </c>
      <c r="D30" s="78">
        <f>VLOOKUP($A$11,'[1]6.2. отчет'!$D:$FK,106,0)</f>
        <v>3.0181889999999999E-2</v>
      </c>
      <c r="E30" s="78">
        <f>VLOOKUP($A$11,'[1]6.2. отчет'!$D:$FK,108,0)</f>
        <v>3.2288135593220336E-2</v>
      </c>
      <c r="F30" s="78">
        <f>VLOOKUP($A$11,'[1]6.2. отчет'!$D:$FK,109,0)</f>
        <v>3.2288135593220336E-2</v>
      </c>
      <c r="G30" s="78">
        <f>VLOOKUP($A$11,'[1]6.2. отчет'!$D:$FK,110,0)</f>
        <v>0</v>
      </c>
      <c r="H30" s="78">
        <f>VLOOKUP($A$11,'[1]6.2. отчет'!$D:$FK,115,0)</f>
        <v>0</v>
      </c>
      <c r="I30" s="78">
        <f>VLOOKUP($A$11,'[1]6.2. отчет'!$D:$AGP,124,0)</f>
        <v>0</v>
      </c>
      <c r="J30" s="78">
        <f>VLOOKUP($A$11,'[1]6.2. отчет'!$D:$FK,130,0)</f>
        <v>3.0181889999999999E-2</v>
      </c>
      <c r="K30" s="78">
        <f>VLOOKUP($A$11,'[1]6.2. отчет'!$D:$FK,155,0)</f>
        <v>0</v>
      </c>
    </row>
    <row r="31" spans="1:11" x14ac:dyDescent="0.25">
      <c r="A31" s="12" t="s">
        <v>81</v>
      </c>
      <c r="B31" s="6" t="s">
        <v>80</v>
      </c>
      <c r="C31" s="78">
        <f>VLOOKUP($A$11,'[1]6.2. отчет'!$D:$DB,100,0)</f>
        <v>1.7790841386003853E-3</v>
      </c>
      <c r="D31" s="79">
        <v>0</v>
      </c>
      <c r="E31" s="78">
        <f>F31+G31</f>
        <v>0</v>
      </c>
      <c r="F31" s="78">
        <v>0</v>
      </c>
      <c r="G31" s="78">
        <f>VLOOKUP($A$11,'[1]6.2. отчет'!$D:$FK,111,0)</f>
        <v>0</v>
      </c>
      <c r="H31" s="78">
        <v>0</v>
      </c>
      <c r="I31" s="78">
        <v>0</v>
      </c>
      <c r="J31" s="78">
        <f>VLOOKUP($A$11,'[1]6.2. отчет'!$D:$FK,131,0)</f>
        <v>0</v>
      </c>
      <c r="K31" s="78">
        <f>IF(J31=0,0,VLOOKUP($A$11,'[1]6.2. отчет'!$D:$FK,156,0))</f>
        <v>0</v>
      </c>
    </row>
    <row r="32" spans="1:11" ht="31.5" x14ac:dyDescent="0.25">
      <c r="A32" s="12" t="s">
        <v>79</v>
      </c>
      <c r="B32" s="6" t="s">
        <v>78</v>
      </c>
      <c r="C32" s="78">
        <f>VLOOKUP($A$11,'[1]6.2. отчет'!$D:$DB,101,0)</f>
        <v>7.9239802745452014E-3</v>
      </c>
      <c r="D32" s="79">
        <v>8.5986000000000005E-4</v>
      </c>
      <c r="E32" s="78">
        <f t="shared" ref="E32:E57" si="4">F32+G32</f>
        <v>0</v>
      </c>
      <c r="F32" s="78">
        <v>0</v>
      </c>
      <c r="G32" s="78">
        <f>VLOOKUP($A$11,'[1]6.2. отчет'!$D:$FK,112,0)</f>
        <v>0</v>
      </c>
      <c r="H32" s="78">
        <v>0</v>
      </c>
      <c r="I32" s="78">
        <v>0</v>
      </c>
      <c r="J32" s="78">
        <f>VLOOKUP($A$11,'[1]6.2. отчет'!$D:$FK,132,0)</f>
        <v>8.5986000000000005E-4</v>
      </c>
      <c r="K32" s="78">
        <f>IF(J32=0,0,VLOOKUP($A$11,'[1]6.2. отчет'!$D:$FK,157,0))</f>
        <v>0</v>
      </c>
    </row>
    <row r="33" spans="1:11" x14ac:dyDescent="0.25">
      <c r="A33" s="12" t="s">
        <v>77</v>
      </c>
      <c r="B33" s="6" t="s">
        <v>76</v>
      </c>
      <c r="C33" s="78">
        <f>VLOOKUP($A$11,'[1]6.2. отчет'!$D:$DB,102,0)</f>
        <v>1.4439308943598027E-2</v>
      </c>
      <c r="D33" s="79">
        <v>2.9322029999999999E-2</v>
      </c>
      <c r="E33" s="78">
        <f t="shared" si="4"/>
        <v>3.2288135593220336E-2</v>
      </c>
      <c r="F33" s="78">
        <v>3.2288135593220336E-2</v>
      </c>
      <c r="G33" s="78">
        <f>VLOOKUP($A$11,'[1]6.2. отчет'!$D:$FK,113,0)</f>
        <v>0</v>
      </c>
      <c r="H33" s="78">
        <v>0</v>
      </c>
      <c r="I33" s="78">
        <v>0</v>
      </c>
      <c r="J33" s="78">
        <f>VLOOKUP($A$11,'[1]6.2. отчет'!$D:$FK,133,0)</f>
        <v>2.9322029999999999E-2</v>
      </c>
      <c r="K33" s="78">
        <f>IF(J33=0,0,VLOOKUP($A$11,'[1]6.2. отчет'!$D:$FK,158,0))</f>
        <v>0</v>
      </c>
    </row>
    <row r="34" spans="1:11" x14ac:dyDescent="0.25">
      <c r="A34" s="12" t="s">
        <v>75</v>
      </c>
      <c r="B34" s="6" t="s">
        <v>74</v>
      </c>
      <c r="C34" s="78">
        <f>VLOOKUP($A$11,'[1]6.2. отчет'!$D:$DB,103,0)</f>
        <v>8.1476257664726565E-3</v>
      </c>
      <c r="D34" s="79">
        <v>0</v>
      </c>
      <c r="E34" s="78">
        <f t="shared" si="4"/>
        <v>0</v>
      </c>
      <c r="F34" s="78">
        <v>0</v>
      </c>
      <c r="G34" s="78">
        <f>VLOOKUP($A$11,'[1]6.2. отчет'!$D:$FK,114,0)</f>
        <v>0</v>
      </c>
      <c r="H34" s="78">
        <v>0</v>
      </c>
      <c r="I34" s="78">
        <v>0</v>
      </c>
      <c r="J34" s="78">
        <f>VLOOKUP($A$11,'[1]6.2. отчет'!$D:$FK,134,0)</f>
        <v>0</v>
      </c>
      <c r="K34" s="78">
        <f>IF(J34=0,0,VLOOKUP($A$11,'[1]6.2. отчет'!$D:$FK,159,0))</f>
        <v>0</v>
      </c>
    </row>
    <row r="35" spans="1:11" s="97" customFormat="1" ht="31.5" x14ac:dyDescent="0.25">
      <c r="A35" s="12" t="s">
        <v>17</v>
      </c>
      <c r="B35" s="11" t="s">
        <v>73</v>
      </c>
      <c r="C35" s="78"/>
      <c r="D35" s="78"/>
      <c r="E35" s="78"/>
      <c r="F35" s="78"/>
      <c r="G35" s="78"/>
      <c r="H35" s="78"/>
      <c r="I35" s="57"/>
      <c r="J35" s="78"/>
      <c r="K35" s="57"/>
    </row>
    <row r="36" spans="1:11" ht="31.5" x14ac:dyDescent="0.25">
      <c r="A36" s="10" t="s">
        <v>72</v>
      </c>
      <c r="B36" s="80" t="s">
        <v>71</v>
      </c>
      <c r="C36" s="78">
        <f>VLOOKUP($A$11,'[1]6.2. отчет'!$D:$FX,168,0)</f>
        <v>0</v>
      </c>
      <c r="D36" s="78">
        <v>0</v>
      </c>
      <c r="E36" s="78">
        <f t="shared" si="4"/>
        <v>0</v>
      </c>
      <c r="F36" s="78">
        <v>0</v>
      </c>
      <c r="G36" s="78">
        <f>VLOOKUP($A$11,'[1]6.2. отчет'!$D:$GJ,180,0)</f>
        <v>0</v>
      </c>
      <c r="H36" s="78">
        <f>VLOOKUP($A$11,'[1]6.2. отчет'!$D:$AGO,191,0)</f>
        <v>0</v>
      </c>
      <c r="I36" s="78">
        <f>VLOOKUP($A$11,'[1]6.2. отчет'!$D:$AGO,246,0)</f>
        <v>0</v>
      </c>
      <c r="J36" s="78">
        <f>VLOOKUP($A$11,'[1]6.2. отчет'!$D:$AGO,257,0)</f>
        <v>0</v>
      </c>
      <c r="K36" s="78">
        <f>VLOOKUP($A$11,'[1]6.2. отчет'!$D:$AGO,312,0)</f>
        <v>0</v>
      </c>
    </row>
    <row r="37" spans="1:11" x14ac:dyDescent="0.25">
      <c r="A37" s="10" t="s">
        <v>70</v>
      </c>
      <c r="B37" s="80" t="s">
        <v>60</v>
      </c>
      <c r="C37" s="78">
        <f>VLOOKUP($A$11,'[1]6.2. отчет'!$D:$FX,169,0)</f>
        <v>0</v>
      </c>
      <c r="D37" s="78">
        <v>0</v>
      </c>
      <c r="E37" s="78">
        <f t="shared" si="4"/>
        <v>0</v>
      </c>
      <c r="F37" s="78">
        <v>0</v>
      </c>
      <c r="G37" s="78">
        <f>VLOOKUP($A$11,'[1]6.2. отчет'!$D:$GJ,181,0)</f>
        <v>0</v>
      </c>
      <c r="H37" s="78">
        <f>VLOOKUP($A$11,'[1]6.2. отчет'!$D:$AGO,192,0)</f>
        <v>0</v>
      </c>
      <c r="I37" s="78">
        <f>VLOOKUP($A$11,'[1]6.2. отчет'!$D:$AGO,247,0)</f>
        <v>0</v>
      </c>
      <c r="J37" s="78">
        <f>VLOOKUP($A$11,'[1]6.2. отчет'!$D:$AGO,258,0)</f>
        <v>0</v>
      </c>
      <c r="K37" s="78">
        <f>VLOOKUP($A$11,'[1]6.2. отчет'!$D:$AGO,313,0)</f>
        <v>0</v>
      </c>
    </row>
    <row r="38" spans="1:11" x14ac:dyDescent="0.25">
      <c r="A38" s="10" t="s">
        <v>69</v>
      </c>
      <c r="B38" s="80" t="s">
        <v>58</v>
      </c>
      <c r="C38" s="78">
        <f>VLOOKUP($A$11,'[1]6.2. отчет'!$D:$FX,170,0)</f>
        <v>0</v>
      </c>
      <c r="D38" s="78">
        <v>0</v>
      </c>
      <c r="E38" s="78">
        <f t="shared" si="4"/>
        <v>0</v>
      </c>
      <c r="F38" s="78">
        <v>0</v>
      </c>
      <c r="G38" s="78">
        <f>VLOOKUP($A$11,'[1]6.2. отчет'!$D:$GJ,182,0)</f>
        <v>0</v>
      </c>
      <c r="H38" s="78">
        <f>VLOOKUP($A$11,'[1]6.2. отчет'!$D:$AGO,193,0)</f>
        <v>0</v>
      </c>
      <c r="I38" s="78">
        <f>VLOOKUP($A$11,'[1]6.2. отчет'!$D:$AGO,248,0)</f>
        <v>0</v>
      </c>
      <c r="J38" s="78">
        <f>VLOOKUP($A$11,'[1]6.2. отчет'!$D:$AGO,259,0)</f>
        <v>0</v>
      </c>
      <c r="K38" s="78">
        <f>VLOOKUP($A$11,'[1]6.2. отчет'!$D:$AGO,314,0)</f>
        <v>0</v>
      </c>
    </row>
    <row r="39" spans="1:11" ht="31.5" x14ac:dyDescent="0.25">
      <c r="A39" s="10" t="s">
        <v>68</v>
      </c>
      <c r="B39" s="6" t="s">
        <v>56</v>
      </c>
      <c r="C39" s="78">
        <f>VLOOKUP($A$11,'[1]6.2. отчет'!$D:$FX,172,0)</f>
        <v>0</v>
      </c>
      <c r="D39" s="78">
        <v>0</v>
      </c>
      <c r="E39" s="78">
        <f t="shared" si="4"/>
        <v>0</v>
      </c>
      <c r="F39" s="78">
        <v>0</v>
      </c>
      <c r="G39" s="78">
        <f>VLOOKUP($A$11,'[1]6.2. отчет'!$D:$GJ,184,0)</f>
        <v>0</v>
      </c>
      <c r="H39" s="78">
        <f>VLOOKUP($A$11,'[1]6.2. отчет'!$D:$AGO,195,0)</f>
        <v>0</v>
      </c>
      <c r="I39" s="78">
        <f>VLOOKUP($A$11,'[1]6.2. отчет'!$D:$AGO,250,0)</f>
        <v>0</v>
      </c>
      <c r="J39" s="78">
        <f>VLOOKUP($A$11,'[1]6.2. отчет'!$D:$AGO,261,0)</f>
        <v>0</v>
      </c>
      <c r="K39" s="78">
        <f>VLOOKUP($A$11,'[1]6.2. отчет'!$D:$AGO,316,0)</f>
        <v>0</v>
      </c>
    </row>
    <row r="40" spans="1:11" ht="31.5" x14ac:dyDescent="0.25">
      <c r="A40" s="10" t="s">
        <v>67</v>
      </c>
      <c r="B40" s="6" t="s">
        <v>54</v>
      </c>
      <c r="C40" s="78">
        <f>VLOOKUP($A$11,'[1]6.2. отчет'!$D:$FX,173,0)</f>
        <v>0</v>
      </c>
      <c r="D40" s="78">
        <v>0</v>
      </c>
      <c r="E40" s="78">
        <f t="shared" si="4"/>
        <v>0</v>
      </c>
      <c r="F40" s="78">
        <v>0</v>
      </c>
      <c r="G40" s="78">
        <f>VLOOKUP($A$11,'[1]6.2. отчет'!$D:$GJ,185,0)</f>
        <v>0</v>
      </c>
      <c r="H40" s="78">
        <f>VLOOKUP($A$11,'[1]6.2. отчет'!$D:$AGO,196,0)</f>
        <v>0</v>
      </c>
      <c r="I40" s="78">
        <f>VLOOKUP($A$11,'[1]6.2. отчет'!$D:$AGO,251,0)</f>
        <v>0</v>
      </c>
      <c r="J40" s="78">
        <f>VLOOKUP($A$11,'[1]6.2. отчет'!$D:$AGO,262,0)</f>
        <v>0</v>
      </c>
      <c r="K40" s="78">
        <f>VLOOKUP($A$11,'[1]6.2. отчет'!$D:$AGO,317,0)</f>
        <v>0</v>
      </c>
    </row>
    <row r="41" spans="1:11" x14ac:dyDescent="0.25">
      <c r="A41" s="10" t="s">
        <v>66</v>
      </c>
      <c r="B41" s="6" t="s">
        <v>52</v>
      </c>
      <c r="C41" s="78">
        <f>VLOOKUP($A$11,'[1]6.2. отчет'!$D:$FX,174,0)</f>
        <v>0</v>
      </c>
      <c r="D41" s="78">
        <v>0</v>
      </c>
      <c r="E41" s="78">
        <f t="shared" si="4"/>
        <v>0</v>
      </c>
      <c r="F41" s="78">
        <v>0</v>
      </c>
      <c r="G41" s="78">
        <f>VLOOKUP($A$11,'[1]6.2. отчет'!$D:$GJ,186,0)</f>
        <v>0</v>
      </c>
      <c r="H41" s="78">
        <f>VLOOKUP($A$11,'[1]6.2. отчет'!$D:$AGO,197,0)</f>
        <v>0</v>
      </c>
      <c r="I41" s="78">
        <f>VLOOKUP($A$11,'[1]6.2. отчет'!$D:$AGO,252,0)</f>
        <v>0</v>
      </c>
      <c r="J41" s="78">
        <f>VLOOKUP($A$11,'[1]6.2. отчет'!$D:$AGO,263,0)</f>
        <v>0</v>
      </c>
      <c r="K41" s="78">
        <f>VLOOKUP($A$11,'[1]6.2. отчет'!$D:$AGO,318,0)</f>
        <v>0</v>
      </c>
    </row>
    <row r="42" spans="1:11" x14ac:dyDescent="0.25">
      <c r="A42" s="10" t="s">
        <v>65</v>
      </c>
      <c r="B42" s="80" t="s">
        <v>467</v>
      </c>
      <c r="C42" s="78">
        <f>VLOOKUP($A$11,'[1]6.2. отчет'!$D:$FX,177,0)</f>
        <v>1</v>
      </c>
      <c r="D42" s="78">
        <v>1</v>
      </c>
      <c r="E42" s="78">
        <f t="shared" si="4"/>
        <v>1</v>
      </c>
      <c r="F42" s="78">
        <v>1</v>
      </c>
      <c r="G42" s="78">
        <f>VLOOKUP($A$11,'[1]6.2. отчет'!$D:$GJ,189,0)</f>
        <v>0</v>
      </c>
      <c r="H42" s="78">
        <f>VLOOKUP($A$11,'[1]6.2. отчет'!$D:$AGO,200,0)</f>
        <v>0</v>
      </c>
      <c r="I42" s="78">
        <f>VLOOKUP($A$11,'[1]6.2. отчет'!$D:$AGO,255,0)</f>
        <v>0</v>
      </c>
      <c r="J42" s="78">
        <f>VLOOKUP($A$11,'[1]6.2. отчет'!$D:$AGO,266,0)</f>
        <v>1</v>
      </c>
      <c r="K42" s="78">
        <f>VLOOKUP($A$11,'[1]6.2. отчет'!$D:$AGO,321,0)</f>
        <v>0</v>
      </c>
    </row>
    <row r="43" spans="1:11" s="97" customFormat="1" x14ac:dyDescent="0.25">
      <c r="A43" s="12" t="s">
        <v>16</v>
      </c>
      <c r="B43" s="11" t="s">
        <v>64</v>
      </c>
      <c r="C43" s="78"/>
      <c r="D43" s="81"/>
      <c r="E43" s="78"/>
      <c r="F43" s="78"/>
      <c r="G43" s="78"/>
      <c r="H43" s="78"/>
      <c r="I43" s="57"/>
      <c r="J43" s="78"/>
      <c r="K43" s="57"/>
    </row>
    <row r="44" spans="1:11" x14ac:dyDescent="0.25">
      <c r="A44" s="10" t="s">
        <v>63</v>
      </c>
      <c r="B44" s="6" t="s">
        <v>62</v>
      </c>
      <c r="C44" s="78">
        <f>IF('1. паспорт местоположение'!$C$22="Прочие инвестиционные проекты",0,VLOOKUP($A$11,'[1]6.2. отчет'!$D:$FX,168,0))</f>
        <v>0</v>
      </c>
      <c r="D44" s="78">
        <v>0</v>
      </c>
      <c r="E44" s="78">
        <f t="shared" si="4"/>
        <v>0</v>
      </c>
      <c r="F44" s="78">
        <v>0</v>
      </c>
      <c r="G44" s="78">
        <f>IF('1. паспорт местоположение'!$C$22="Прочие инвестиционные проекты",0,VLOOKUP($A$11,'[1]6.2. отчет'!$D:$GJ,180,0))</f>
        <v>0</v>
      </c>
      <c r="H44" s="78">
        <f>IF('1. паспорт местоположение'!$C$22="Прочие инвестиционные проекты",0,VLOOKUP($A$11,'[1]6.2. отчет'!$D:$AGO,191,0))</f>
        <v>0</v>
      </c>
      <c r="I44" s="78">
        <f>IF('1. паспорт местоположение'!$C$22="Прочие инвестиционные проекты",0,VLOOKUP($A$11,'[1]6.2. отчет'!$D:$AGO,246,0))</f>
        <v>0</v>
      </c>
      <c r="J44" s="78">
        <f>IF('1. паспорт местоположение'!$C$22="Прочие инвестиционные проекты",0,VLOOKUP($A$11,'[1]6.2. отчет'!$D:$AGO,257,0))</f>
        <v>0</v>
      </c>
      <c r="K44" s="78">
        <f>IF('1. паспорт местоположение'!$C$22="Прочие инвестиционные проекты",0,VLOOKUP($A$11,'[1]6.2. отчет'!$D:$AGO,312,0))</f>
        <v>0</v>
      </c>
    </row>
    <row r="45" spans="1:11" x14ac:dyDescent="0.25">
      <c r="A45" s="10" t="s">
        <v>61</v>
      </c>
      <c r="B45" s="6" t="s">
        <v>60</v>
      </c>
      <c r="C45" s="78">
        <f>IF('1. паспорт местоположение'!$C$22="Прочие инвестиционные проекты",0,VLOOKUP($A$11,'[1]6.2. отчет'!$D:$FX,169,0))</f>
        <v>0</v>
      </c>
      <c r="D45" s="78">
        <v>0</v>
      </c>
      <c r="E45" s="78">
        <f t="shared" si="4"/>
        <v>0</v>
      </c>
      <c r="F45" s="78">
        <v>0</v>
      </c>
      <c r="G45" s="78">
        <f>IF('1. паспорт местоположение'!$C$22="Прочие инвестиционные проекты",0,VLOOKUP($A$11,'[1]6.2. отчет'!$D:$GJ,181,0))</f>
        <v>0</v>
      </c>
      <c r="H45" s="78">
        <f>IF('1. паспорт местоположение'!$C$22="Прочие инвестиционные проекты",0,VLOOKUP($A$11,'[1]6.2. отчет'!$D:$AGO,192,0))</f>
        <v>0</v>
      </c>
      <c r="I45" s="78">
        <f>IF('1. паспорт местоположение'!$C$22="Прочие инвестиционные проекты",0,VLOOKUP($A$11,'[1]6.2. отчет'!$D:$AGO,247,0))</f>
        <v>0</v>
      </c>
      <c r="J45" s="78">
        <f>IF('1. паспорт местоположение'!$C$22="Прочие инвестиционные проекты",0,VLOOKUP($A$11,'[1]6.2. отчет'!$D:$AGO,258,0))</f>
        <v>0</v>
      </c>
      <c r="K45" s="78">
        <f>IF('1. паспорт местоположение'!$C$22="Прочие инвестиционные проекты",0,VLOOKUP($A$11,'[1]6.2. отчет'!$D:$AGO,313,0))</f>
        <v>0</v>
      </c>
    </row>
    <row r="46" spans="1:11" x14ac:dyDescent="0.25">
      <c r="A46" s="10" t="s">
        <v>59</v>
      </c>
      <c r="B46" s="6" t="s">
        <v>58</v>
      </c>
      <c r="C46" s="78">
        <f>IF('1. паспорт местоположение'!$C$22="Прочие инвестиционные проекты",0,VLOOKUP($A$11,'[1]6.2. отчет'!$D:$FX,170,0))</f>
        <v>0</v>
      </c>
      <c r="D46" s="78">
        <v>0</v>
      </c>
      <c r="E46" s="78">
        <f t="shared" si="4"/>
        <v>0</v>
      </c>
      <c r="F46" s="78">
        <v>0</v>
      </c>
      <c r="G46" s="78">
        <f>IF('1. паспорт местоположение'!$C$22="Прочие инвестиционные проекты",0,VLOOKUP($A$11,'[1]6.2. отчет'!$D:$GJ,182,0))</f>
        <v>0</v>
      </c>
      <c r="H46" s="78">
        <f>IF('1. паспорт местоположение'!$C$22="Прочие инвестиционные проекты",0,VLOOKUP($A$11,'[1]6.2. отчет'!$D:$AGO,193,0))</f>
        <v>0</v>
      </c>
      <c r="I46" s="78">
        <f>IF('1. паспорт местоположение'!$C$22="Прочие инвестиционные проекты",0,VLOOKUP($A$11,'[1]6.2. отчет'!$D:$AGO,248,0))</f>
        <v>0</v>
      </c>
      <c r="J46" s="78">
        <f>IF('1. паспорт местоположение'!$C$22="Прочие инвестиционные проекты",0,VLOOKUP($A$11,'[1]6.2. отчет'!$D:$AGO,259,0))</f>
        <v>0</v>
      </c>
      <c r="K46" s="78">
        <f>IF('1. паспорт местоположение'!$C$22="Прочие инвестиционные проекты",0,VLOOKUP($A$11,'[1]6.2. отчет'!$D:$AGO,314,0))</f>
        <v>0</v>
      </c>
    </row>
    <row r="47" spans="1:11" ht="31.5" x14ac:dyDescent="0.25">
      <c r="A47" s="10" t="s">
        <v>57</v>
      </c>
      <c r="B47" s="6" t="s">
        <v>56</v>
      </c>
      <c r="C47" s="78">
        <f>IF('1. паспорт местоположение'!$C$22="Прочие инвестиционные проекты",0,VLOOKUP($A$11,'[1]6.2. отчет'!$D:$FX,172,0))</f>
        <v>0</v>
      </c>
      <c r="D47" s="78">
        <v>0</v>
      </c>
      <c r="E47" s="78">
        <f t="shared" si="4"/>
        <v>0</v>
      </c>
      <c r="F47" s="78">
        <v>0</v>
      </c>
      <c r="G47" s="78">
        <f>IF('1. паспорт местоположение'!$C$22="Прочие инвестиционные проекты",0,VLOOKUP($A$11,'[1]6.2. отчет'!$D:$GJ,184,0))</f>
        <v>0</v>
      </c>
      <c r="H47" s="78">
        <f>IF('1. паспорт местоположение'!$C$22="Прочие инвестиционные проекты",0,VLOOKUP($A$11,'[1]6.2. отчет'!$D:$AGO,195,0))</f>
        <v>0</v>
      </c>
      <c r="I47" s="78">
        <f>IF('1. паспорт местоположение'!$C$22="Прочие инвестиционные проекты",0,VLOOKUP($A$11,'[1]6.2. отчет'!$D:$AGO,250,0))</f>
        <v>0</v>
      </c>
      <c r="J47" s="78">
        <f>IF('1. паспорт местоположение'!$C$22="Прочие инвестиционные проекты",0,VLOOKUP($A$11,'[1]6.2. отчет'!$D:$AGO,261,0))</f>
        <v>0</v>
      </c>
      <c r="K47" s="78">
        <f>IF('1. паспорт местоположение'!$C$22="Прочие инвестиционные проекты",0,VLOOKUP($A$11,'[1]6.2. отчет'!$D:$AGO,316,0))</f>
        <v>0</v>
      </c>
    </row>
    <row r="48" spans="1:11" ht="31.5" x14ac:dyDescent="0.25">
      <c r="A48" s="10" t="s">
        <v>55</v>
      </c>
      <c r="B48" s="6" t="s">
        <v>54</v>
      </c>
      <c r="C48" s="78">
        <f>IF('1. паспорт местоположение'!$C$22="Прочие инвестиционные проекты",0,VLOOKUP($A$11,'[1]6.2. отчет'!$D:$FX,173,0))</f>
        <v>0</v>
      </c>
      <c r="D48" s="78">
        <v>0</v>
      </c>
      <c r="E48" s="78">
        <f t="shared" si="4"/>
        <v>0</v>
      </c>
      <c r="F48" s="78">
        <v>0</v>
      </c>
      <c r="G48" s="78">
        <f>IF('1. паспорт местоположение'!$C$22="Прочие инвестиционные проекты",0,VLOOKUP($A$11,'[1]6.2. отчет'!$D:$GJ,185,0))</f>
        <v>0</v>
      </c>
      <c r="H48" s="78">
        <f>IF('1. паспорт местоположение'!$C$22="Прочие инвестиционные проекты",0,VLOOKUP($A$11,'[1]6.2. отчет'!$D:$AGO,196,0))</f>
        <v>0</v>
      </c>
      <c r="I48" s="78">
        <f>IF('1. паспорт местоположение'!$C$22="Прочие инвестиционные проекты",0,VLOOKUP($A$11,'[1]6.2. отчет'!$D:$AGO,251,0))</f>
        <v>0</v>
      </c>
      <c r="J48" s="78">
        <f>IF('1. паспорт местоположение'!$C$22="Прочие инвестиционные проекты",0,VLOOKUP($A$11,'[1]6.2. отчет'!$D:$AGO,262,0))</f>
        <v>0</v>
      </c>
      <c r="K48" s="78">
        <f>IF('1. паспорт местоположение'!$C$22="Прочие инвестиционные проекты",0,VLOOKUP($A$11,'[1]6.2. отчет'!$D:$AGO,317,0))</f>
        <v>0</v>
      </c>
    </row>
    <row r="49" spans="1:11" x14ac:dyDescent="0.25">
      <c r="A49" s="10" t="s">
        <v>53</v>
      </c>
      <c r="B49" s="6" t="s">
        <v>52</v>
      </c>
      <c r="C49" s="78">
        <f>IF('1. паспорт местоположение'!$C$22="Прочие инвестиционные проекты",0,VLOOKUP($A$11,'[1]6.2. отчет'!$D:$FX,174,0))</f>
        <v>0</v>
      </c>
      <c r="D49" s="78">
        <v>0</v>
      </c>
      <c r="E49" s="78">
        <f t="shared" si="4"/>
        <v>0</v>
      </c>
      <c r="F49" s="78">
        <v>0</v>
      </c>
      <c r="G49" s="78">
        <f>IF('1. паспорт местоположение'!$C$22="Прочие инвестиционные проекты",0,VLOOKUP($A$11,'[1]6.2. отчет'!$D:$GJ,186,0))</f>
        <v>0</v>
      </c>
      <c r="H49" s="78">
        <f>IF('1. паспорт местоположение'!$C$22="Прочие инвестиционные проекты",0,VLOOKUP($A$11,'[1]6.2. отчет'!$D:$AGO,197,0))</f>
        <v>0</v>
      </c>
      <c r="I49" s="78">
        <f>IF('1. паспорт местоположение'!$C$22="Прочие инвестиционные проекты",0,VLOOKUP($A$11,'[1]6.2. отчет'!$D:$AGO,252,0))</f>
        <v>0</v>
      </c>
      <c r="J49" s="78">
        <f>IF('1. паспорт местоположение'!$C$22="Прочие инвестиционные проекты",0,VLOOKUP($A$11,'[1]6.2. отчет'!$D:$AGO,263,0))</f>
        <v>0</v>
      </c>
      <c r="K49" s="78">
        <f>IF('1. паспорт местоположение'!$C$22="Прочие инвестиционные проекты",0,VLOOKUP($A$11,'[1]6.2. отчет'!$D:$AGO,318,0))</f>
        <v>0</v>
      </c>
    </row>
    <row r="50" spans="1:11" x14ac:dyDescent="0.25">
      <c r="A50" s="10" t="s">
        <v>51</v>
      </c>
      <c r="B50" s="6" t="s">
        <v>467</v>
      </c>
      <c r="C50" s="78">
        <f>IF('1. паспорт местоположение'!$C$22="Прочие инвестиционные проекты",0,VLOOKUP($A$11,'[1]6.2. отчет'!$D:$FX,177,0))</f>
        <v>1</v>
      </c>
      <c r="D50" s="78">
        <v>1</v>
      </c>
      <c r="E50" s="78">
        <f t="shared" si="4"/>
        <v>1</v>
      </c>
      <c r="F50" s="78">
        <v>1</v>
      </c>
      <c r="G50" s="78">
        <f>IF('1. паспорт местоположение'!$C$22="Прочие инвестиционные проекты",0,VLOOKUP($A$11,'[1]6.2. отчет'!$D:$GJ,189,0))</f>
        <v>0</v>
      </c>
      <c r="H50" s="78">
        <f>IF('1. паспорт местоположение'!$C$22="Прочие инвестиционные проекты",0,VLOOKUP($A$11,'[1]6.2. отчет'!$D:$AGO,200,0))</f>
        <v>0</v>
      </c>
      <c r="I50" s="78">
        <f>IF('1. паспорт местоположение'!$C$22="Прочие инвестиционные проекты",0,VLOOKUP($A$11,'[1]6.2. отчет'!$D:$AGO,255,0))</f>
        <v>0</v>
      </c>
      <c r="J50" s="78">
        <f>IF('1. паспорт местоположение'!$C$22="Прочие инвестиционные проекты",0,VLOOKUP($A$11,'[1]6.2. отчет'!$D:$AGO,266,0))</f>
        <v>1</v>
      </c>
      <c r="K50" s="78">
        <f>IF('1. паспорт местоположение'!$C$22="Прочие инвестиционные проекты",0,VLOOKUP($A$11,'[1]6.2. отчет'!$D:$AGO,321,0))</f>
        <v>0</v>
      </c>
    </row>
    <row r="51" spans="1:11" ht="31.5" x14ac:dyDescent="0.25">
      <c r="A51" s="12" t="s">
        <v>14</v>
      </c>
      <c r="B51" s="11" t="s">
        <v>50</v>
      </c>
      <c r="C51" s="78"/>
      <c r="D51" s="78"/>
      <c r="E51" s="78"/>
      <c r="F51" s="78"/>
      <c r="G51" s="78"/>
      <c r="H51" s="78"/>
      <c r="I51" s="57"/>
      <c r="J51" s="78"/>
      <c r="K51" s="57"/>
    </row>
    <row r="52" spans="1:11" x14ac:dyDescent="0.25">
      <c r="A52" s="10" t="s">
        <v>49</v>
      </c>
      <c r="B52" s="6" t="s">
        <v>48</v>
      </c>
      <c r="C52" s="78">
        <f>VLOOKUP($A$11,'[1]6.2. отчет'!$D:$FX,167,0)</f>
        <v>3.2288135593220336E-2</v>
      </c>
      <c r="D52" s="78">
        <v>3.2288135593220336E-2</v>
      </c>
      <c r="E52" s="78">
        <f t="shared" si="4"/>
        <v>3.2288135593220336E-2</v>
      </c>
      <c r="F52" s="78">
        <v>3.2288135593220336E-2</v>
      </c>
      <c r="G52" s="78">
        <f>VLOOKUP($A$11,'[1]6.2. отчет'!$D:$GJ,179,0)</f>
        <v>0</v>
      </c>
      <c r="H52" s="78">
        <f>VLOOKUP($A$11,'[1]6.2. отчет'!$D:$AGO,190,0)</f>
        <v>0</v>
      </c>
      <c r="I52" s="78">
        <f>VLOOKUP($A$11,'[1]6.2. отчет'!$D:$AGO,245,0)</f>
        <v>0</v>
      </c>
      <c r="J52" s="78">
        <f>VLOOKUP($A$11,'[1]6.2. отчет'!$D:$AGO,256,0)</f>
        <v>3.0181889999999999E-2</v>
      </c>
      <c r="K52" s="78">
        <f>VLOOKUP($A$11,'[1]6.2. отчет'!$D:$AGO,311,0)</f>
        <v>0</v>
      </c>
    </row>
    <row r="53" spans="1:11" x14ac:dyDescent="0.25">
      <c r="A53" s="10" t="s">
        <v>47</v>
      </c>
      <c r="B53" s="6" t="s">
        <v>41</v>
      </c>
      <c r="C53" s="78">
        <f>VLOOKUP($A$11,'[1]6.2. отчет'!$D:$FX,168,0)</f>
        <v>0</v>
      </c>
      <c r="D53" s="78">
        <v>0</v>
      </c>
      <c r="E53" s="78">
        <f t="shared" si="4"/>
        <v>0</v>
      </c>
      <c r="F53" s="78">
        <v>0</v>
      </c>
      <c r="G53" s="78">
        <f>VLOOKUP($A$11,'[1]6.2. отчет'!$D:$GJ,180,0)</f>
        <v>0</v>
      </c>
      <c r="H53" s="78">
        <f>VLOOKUP($A$11,'[1]6.2. отчет'!$D:$AGO,191,0)</f>
        <v>0</v>
      </c>
      <c r="I53" s="78">
        <f>VLOOKUP($A$11,'[1]6.2. отчет'!$D:$AGO,246,0)</f>
        <v>0</v>
      </c>
      <c r="J53" s="78">
        <f>VLOOKUP($A$11,'[1]6.2. отчет'!$D:$AGO,257,0)</f>
        <v>0</v>
      </c>
      <c r="K53" s="78">
        <f>VLOOKUP($A$11,'[1]6.2. отчет'!$D:$AGO,312,0)</f>
        <v>0</v>
      </c>
    </row>
    <row r="54" spans="1:11" x14ac:dyDescent="0.25">
      <c r="A54" s="10" t="s">
        <v>46</v>
      </c>
      <c r="B54" s="80" t="s">
        <v>40</v>
      </c>
      <c r="C54" s="78">
        <f>VLOOKUP($A$11,'[1]6.2. отчет'!$D:$FX,169,0)</f>
        <v>0</v>
      </c>
      <c r="D54" s="78">
        <v>0</v>
      </c>
      <c r="E54" s="78">
        <f t="shared" si="4"/>
        <v>0</v>
      </c>
      <c r="F54" s="78">
        <v>0</v>
      </c>
      <c r="G54" s="78">
        <f>VLOOKUP($A$11,'[1]6.2. отчет'!$D:$GJ,181,0)</f>
        <v>0</v>
      </c>
      <c r="H54" s="78">
        <f>VLOOKUP($A$11,'[1]6.2. отчет'!$D:$AGO,192,0)</f>
        <v>0</v>
      </c>
      <c r="I54" s="78">
        <f>VLOOKUP($A$11,'[1]6.2. отчет'!$D:$AGO,247,0)</f>
        <v>0</v>
      </c>
      <c r="J54" s="78">
        <f>VLOOKUP($A$11,'[1]6.2. отчет'!$D:$AGO,258,0)</f>
        <v>0</v>
      </c>
      <c r="K54" s="78">
        <f>VLOOKUP($A$11,'[1]6.2. отчет'!$D:$AGO,313,0)</f>
        <v>0</v>
      </c>
    </row>
    <row r="55" spans="1:11" x14ac:dyDescent="0.25">
      <c r="A55" s="10" t="s">
        <v>45</v>
      </c>
      <c r="B55" s="80" t="s">
        <v>39</v>
      </c>
      <c r="C55" s="78">
        <f>VLOOKUP($A$11,'[1]6.2. отчет'!$D:$FX,170,0)</f>
        <v>0</v>
      </c>
      <c r="D55" s="78">
        <v>0</v>
      </c>
      <c r="E55" s="78">
        <f t="shared" si="4"/>
        <v>0</v>
      </c>
      <c r="F55" s="78">
        <v>0</v>
      </c>
      <c r="G55" s="78">
        <f>VLOOKUP($A$11,'[1]6.2. отчет'!$D:$GJ,182,0)</f>
        <v>0</v>
      </c>
      <c r="H55" s="78">
        <f>VLOOKUP($A$11,'[1]6.2. отчет'!$D:$AGO,193,0)</f>
        <v>0</v>
      </c>
      <c r="I55" s="78">
        <f>VLOOKUP($A$11,'[1]6.2. отчет'!$D:$AGO,248,0)</f>
        <v>0</v>
      </c>
      <c r="J55" s="78">
        <f>VLOOKUP($A$11,'[1]6.2. отчет'!$D:$AGO,259,0)</f>
        <v>0</v>
      </c>
      <c r="K55" s="78">
        <f>VLOOKUP($A$11,'[1]6.2. отчет'!$D:$AGO,314,0)</f>
        <v>0</v>
      </c>
    </row>
    <row r="56" spans="1:11" x14ac:dyDescent="0.25">
      <c r="A56" s="10" t="s">
        <v>44</v>
      </c>
      <c r="B56" s="80" t="s">
        <v>38</v>
      </c>
      <c r="C56" s="78">
        <f>VLOOKUP($A$11,'[1]6.2. отчет'!$D:$FX,171,0)</f>
        <v>0</v>
      </c>
      <c r="D56" s="78">
        <v>0</v>
      </c>
      <c r="E56" s="78">
        <f t="shared" si="4"/>
        <v>0</v>
      </c>
      <c r="F56" s="78">
        <v>0</v>
      </c>
      <c r="G56" s="78">
        <f>VLOOKUP($A$11,'[1]6.2. отчет'!$D:$GJ,183,0)</f>
        <v>0</v>
      </c>
      <c r="H56" s="78">
        <f>VLOOKUP($A$11,'[1]6.2. отчет'!$D:$AGO,194,0)</f>
        <v>0</v>
      </c>
      <c r="I56" s="78">
        <f>VLOOKUP($A$11,'[1]6.2. отчет'!$D:$AGO,249,0)</f>
        <v>0</v>
      </c>
      <c r="J56" s="78">
        <f>VLOOKUP($A$11,'[1]6.2. отчет'!$D:$AGO,260,0)</f>
        <v>0</v>
      </c>
      <c r="K56" s="78">
        <f>VLOOKUP($A$11,'[1]6.2. отчет'!$D:$AGO,315,0)</f>
        <v>0</v>
      </c>
    </row>
    <row r="57" spans="1:11" s="97" customFormat="1" ht="30" customHeight="1" x14ac:dyDescent="0.25">
      <c r="A57" s="10" t="s">
        <v>43</v>
      </c>
      <c r="B57" s="6" t="s">
        <v>467</v>
      </c>
      <c r="C57" s="78">
        <f>VLOOKUP($A$11,'[1]6.2. отчет'!$D:$FX,177,0)</f>
        <v>1</v>
      </c>
      <c r="D57" s="78">
        <v>1</v>
      </c>
      <c r="E57" s="78">
        <f t="shared" si="4"/>
        <v>1</v>
      </c>
      <c r="F57" s="78">
        <v>1</v>
      </c>
      <c r="G57" s="78">
        <f>VLOOKUP($A$11,'[1]6.2. отчет'!$D:$GJ,189,0)</f>
        <v>0</v>
      </c>
      <c r="H57" s="78">
        <f>VLOOKUP($A$11,'[1]6.2. отчет'!$D:$AGO,200,0)</f>
        <v>0</v>
      </c>
      <c r="I57" s="78">
        <f>VLOOKUP($A$11,'[1]6.2. отчет'!$D:$AGO,255,0)</f>
        <v>0</v>
      </c>
      <c r="J57" s="78">
        <f>VLOOKUP($A$11,'[1]6.2. отчет'!$D:$AGO,266,0)</f>
        <v>1</v>
      </c>
      <c r="K57" s="78">
        <f>VLOOKUP($A$11,'[1]6.2. отчет'!$D:$AGO,321,0)</f>
        <v>0</v>
      </c>
    </row>
    <row r="58" spans="1:11" ht="31.5" x14ac:dyDescent="0.25">
      <c r="A58" s="12" t="s">
        <v>13</v>
      </c>
      <c r="B58" s="21" t="s">
        <v>137</v>
      </c>
      <c r="C58" s="78"/>
      <c r="D58" s="78"/>
      <c r="E58" s="78"/>
      <c r="F58" s="78"/>
      <c r="G58" s="78"/>
      <c r="H58" s="78"/>
      <c r="I58" s="57"/>
      <c r="J58" s="78"/>
      <c r="K58" s="57"/>
    </row>
    <row r="59" spans="1:11" x14ac:dyDescent="0.25">
      <c r="A59" s="12" t="s">
        <v>11</v>
      </c>
      <c r="B59" s="11" t="s">
        <v>42</v>
      </c>
      <c r="C59" s="78"/>
      <c r="D59" s="78"/>
      <c r="E59" s="78"/>
      <c r="F59" s="78"/>
      <c r="G59" s="78"/>
      <c r="H59" s="78"/>
      <c r="I59" s="57"/>
      <c r="J59" s="78"/>
      <c r="K59" s="57"/>
    </row>
    <row r="60" spans="1:11" x14ac:dyDescent="0.25">
      <c r="A60" s="10" t="s">
        <v>131</v>
      </c>
      <c r="B60" s="82" t="s">
        <v>62</v>
      </c>
      <c r="C60" s="78">
        <f>VLOOKUP($A$11,'[1]6.2. отчет'!$D:$AGO,326,0)</f>
        <v>0</v>
      </c>
      <c r="D60" s="78">
        <v>0</v>
      </c>
      <c r="E60" s="78">
        <f t="shared" ref="E60:E64" si="5">F60+G60</f>
        <v>0</v>
      </c>
      <c r="F60" s="78">
        <v>0</v>
      </c>
      <c r="G60" s="78">
        <f>VLOOKUP($A$11,'[1]6.2. отчет'!$D:$AGO,333,0)</f>
        <v>0</v>
      </c>
      <c r="H60" s="78">
        <f>VLOOKUP($A$11,'[1]6.2. отчет'!$D:$AGO,341,0)</f>
        <v>0</v>
      </c>
      <c r="I60" s="78">
        <f>VLOOKUP($A$11,'[1]6.2. отчет'!$D:$AGO,366,0)</f>
        <v>0</v>
      </c>
      <c r="J60" s="78">
        <f>VLOOKUP($A$11,'[1]6.2. отчет'!$D:$AGO,371,0)</f>
        <v>0</v>
      </c>
      <c r="K60" s="78">
        <f>VLOOKUP($A$11,'[1]6.2. отчет'!$D:$AGO,396,0)</f>
        <v>0</v>
      </c>
    </row>
    <row r="61" spans="1:11" x14ac:dyDescent="0.25">
      <c r="A61" s="10" t="s">
        <v>132</v>
      </c>
      <c r="B61" s="82" t="s">
        <v>60</v>
      </c>
      <c r="C61" s="78">
        <f>VLOOKUP($A$11,'[1]6.2. отчет'!$D:$AGO,327,0)</f>
        <v>0</v>
      </c>
      <c r="D61" s="78">
        <v>0</v>
      </c>
      <c r="E61" s="78">
        <f t="shared" si="5"/>
        <v>0</v>
      </c>
      <c r="F61" s="78">
        <v>0</v>
      </c>
      <c r="G61" s="78">
        <f>VLOOKUP($A$11,'[1]6.2. отчет'!$D:$AGO,334,0)</f>
        <v>0</v>
      </c>
      <c r="H61" s="78">
        <f>VLOOKUP($A$11,'[1]6.2. отчет'!$D:$AGO,338,0)</f>
        <v>0</v>
      </c>
      <c r="I61" s="78">
        <f>VLOOKUP($A$11,'[1]6.2. отчет'!$D:$AGO,363,0)</f>
        <v>0</v>
      </c>
      <c r="J61" s="78">
        <f>VLOOKUP($A$11,'[1]6.2. отчет'!$D:$AGO,368,0)</f>
        <v>0</v>
      </c>
      <c r="K61" s="78">
        <f>VLOOKUP($A$11,'[1]6.2. отчет'!$D:$AGO,393,0)</f>
        <v>0</v>
      </c>
    </row>
    <row r="62" spans="1:11" x14ac:dyDescent="0.25">
      <c r="A62" s="10" t="s">
        <v>133</v>
      </c>
      <c r="B62" s="82" t="s">
        <v>58</v>
      </c>
      <c r="C62" s="78">
        <f>VLOOKUP($A$11,'[1]6.2. отчет'!$D:$AGO,328,0)</f>
        <v>0</v>
      </c>
      <c r="D62" s="78">
        <v>0</v>
      </c>
      <c r="E62" s="78">
        <f t="shared" si="5"/>
        <v>0</v>
      </c>
      <c r="F62" s="78">
        <v>0</v>
      </c>
      <c r="G62" s="78">
        <f>VLOOKUP($A$11,'[1]6.2. отчет'!$D:$AGO,335,0)</f>
        <v>0</v>
      </c>
      <c r="H62" s="78">
        <f>VLOOKUP($A$11,'[1]6.2. отчет'!$D:$AGO,339,0)</f>
        <v>0</v>
      </c>
      <c r="I62" s="78">
        <f>VLOOKUP($A$11,'[1]6.2. отчет'!$D:$AGO,364,0)</f>
        <v>0</v>
      </c>
      <c r="J62" s="78">
        <f>VLOOKUP($A$11,'[1]6.2. отчет'!$D:$AGO,369,0)</f>
        <v>0</v>
      </c>
      <c r="K62" s="78">
        <f>VLOOKUP($A$11,'[1]6.2. отчет'!$D:$AGO,394,0)</f>
        <v>0</v>
      </c>
    </row>
    <row r="63" spans="1:11" x14ac:dyDescent="0.25">
      <c r="A63" s="10" t="s">
        <v>134</v>
      </c>
      <c r="B63" s="82" t="s">
        <v>136</v>
      </c>
      <c r="C63" s="78">
        <f>VLOOKUP($A$11,'[1]6.2. отчет'!$D:$AGO,329,0)</f>
        <v>0</v>
      </c>
      <c r="D63" s="78">
        <v>0</v>
      </c>
      <c r="E63" s="78">
        <f t="shared" si="5"/>
        <v>0</v>
      </c>
      <c r="F63" s="78">
        <v>0</v>
      </c>
      <c r="G63" s="78">
        <f>VLOOKUP($A$11,'[1]6.2. отчет'!$D:$AGO,336,0)</f>
        <v>0</v>
      </c>
      <c r="H63" s="78">
        <f>VLOOKUP($A$11,'[1]6.2. отчет'!$D:$AGO,340,0)</f>
        <v>0</v>
      </c>
      <c r="I63" s="78">
        <f>VLOOKUP($A$11,'[1]6.2. отчет'!$D:$AGO,365,0)</f>
        <v>0</v>
      </c>
      <c r="J63" s="78">
        <f>VLOOKUP($A$11,'[1]6.2. отчет'!$D:$AGO,370,0)</f>
        <v>0</v>
      </c>
      <c r="K63" s="78">
        <f>VLOOKUP($A$11,'[1]6.2. отчет'!$D:$AGO,395,0)</f>
        <v>0</v>
      </c>
    </row>
    <row r="64" spans="1:11" ht="54" customHeight="1" x14ac:dyDescent="0.25">
      <c r="A64" s="10" t="s">
        <v>135</v>
      </c>
      <c r="B64" s="80" t="s">
        <v>37</v>
      </c>
      <c r="C64" s="78">
        <f>VLOOKUP($A$11,'[1]6.2. отчет'!$D:$AGO,330,0)</f>
        <v>0</v>
      </c>
      <c r="D64" s="78">
        <v>0</v>
      </c>
      <c r="E64" s="78">
        <f t="shared" si="5"/>
        <v>0</v>
      </c>
      <c r="F64" s="78">
        <v>0</v>
      </c>
      <c r="G64" s="78">
        <f>VLOOKUP($A$11,'[1]6.2. отчет'!$D:$AGO,337,0)</f>
        <v>0</v>
      </c>
      <c r="H64" s="78">
        <f>VLOOKUP($A$11,'[1]6.2. отчет'!$D:$AGO,342,0)</f>
        <v>0</v>
      </c>
      <c r="I64" s="78">
        <f>VLOOKUP($A$11,'[1]6.2. отчет'!$D:$AGO,367,0)</f>
        <v>0</v>
      </c>
      <c r="J64" s="78">
        <f>VLOOKUP($A$11,'[1]6.2. отчет'!$D:$AGO,372,0)</f>
        <v>0</v>
      </c>
      <c r="K64" s="78">
        <f>VLOOKUP($A$11,'[1]6.2. отчет'!$D:$AGO,396,0)</f>
        <v>0</v>
      </c>
    </row>
    <row r="66" spans="2:11" ht="50.25" customHeight="1" x14ac:dyDescent="0.25">
      <c r="B66" s="285"/>
      <c r="C66" s="285"/>
      <c r="D66" s="285"/>
      <c r="E66" s="285"/>
      <c r="F66" s="285"/>
      <c r="G66" s="285"/>
      <c r="H66" s="90"/>
      <c r="I66" s="90"/>
      <c r="J66" s="90"/>
      <c r="K66" s="90"/>
    </row>
    <row r="68" spans="2:11" ht="36.75" customHeight="1" x14ac:dyDescent="0.25">
      <c r="B68" s="286"/>
      <c r="C68" s="286"/>
      <c r="D68" s="286"/>
      <c r="E68" s="286"/>
      <c r="F68" s="286"/>
      <c r="G68" s="286"/>
      <c r="H68" s="91"/>
      <c r="I68" s="91"/>
      <c r="J68" s="91"/>
      <c r="K68" s="91"/>
    </row>
    <row r="69" spans="2:11" x14ac:dyDescent="0.25">
      <c r="B69" s="9"/>
      <c r="C69" s="9"/>
      <c r="D69" s="9"/>
      <c r="E69" s="9"/>
      <c r="F69" s="9"/>
    </row>
    <row r="70" spans="2:11" ht="51" customHeight="1" x14ac:dyDescent="0.25">
      <c r="B70" s="286"/>
      <c r="C70" s="286"/>
      <c r="D70" s="286"/>
      <c r="E70" s="286"/>
      <c r="F70" s="286"/>
      <c r="G70" s="286"/>
      <c r="H70" s="91"/>
      <c r="I70" s="91"/>
      <c r="J70" s="91"/>
      <c r="K70" s="91"/>
    </row>
    <row r="71" spans="2:11" ht="32.25" customHeight="1" x14ac:dyDescent="0.25">
      <c r="B71" s="285"/>
      <c r="C71" s="285"/>
      <c r="D71" s="285"/>
      <c r="E71" s="285"/>
      <c r="F71" s="285"/>
      <c r="G71" s="285"/>
      <c r="H71" s="90"/>
      <c r="I71" s="90"/>
      <c r="J71" s="90"/>
      <c r="K71" s="90"/>
    </row>
    <row r="72" spans="2:11" ht="51.75" customHeight="1" x14ac:dyDescent="0.25">
      <c r="B72" s="286"/>
      <c r="C72" s="286"/>
      <c r="D72" s="286"/>
      <c r="E72" s="286"/>
      <c r="F72" s="286"/>
      <c r="G72" s="286"/>
      <c r="H72" s="91"/>
      <c r="I72" s="91"/>
      <c r="J72" s="91"/>
      <c r="K72" s="91"/>
    </row>
    <row r="73" spans="2:11" ht="21.75" customHeight="1" x14ac:dyDescent="0.25">
      <c r="B73" s="287"/>
      <c r="C73" s="287"/>
      <c r="D73" s="287"/>
      <c r="E73" s="287"/>
      <c r="F73" s="287"/>
      <c r="G73" s="287"/>
      <c r="H73" s="92"/>
      <c r="I73" s="92"/>
      <c r="J73" s="92"/>
      <c r="K73" s="92"/>
    </row>
    <row r="74" spans="2:11" ht="23.25" customHeight="1" x14ac:dyDescent="0.25">
      <c r="B74" s="8"/>
      <c r="C74" s="8"/>
      <c r="D74" s="8"/>
      <c r="E74" s="8"/>
      <c r="F74" s="8"/>
    </row>
    <row r="75" spans="2:11" ht="18.75" customHeight="1" x14ac:dyDescent="0.25">
      <c r="B75" s="284"/>
      <c r="C75" s="284"/>
      <c r="D75" s="284"/>
      <c r="E75" s="284"/>
      <c r="F75" s="284"/>
      <c r="G75" s="284"/>
      <c r="H75" s="89"/>
      <c r="I75" s="89"/>
      <c r="J75" s="89"/>
      <c r="K75" s="89"/>
    </row>
  </sheetData>
  <mergeCells count="25">
    <mergeCell ref="H21:I21"/>
    <mergeCell ref="J21:K21"/>
    <mergeCell ref="B75:G75"/>
    <mergeCell ref="B66:G66"/>
    <mergeCell ref="B68:G68"/>
    <mergeCell ref="B70:G70"/>
    <mergeCell ref="B71:G71"/>
    <mergeCell ref="B72:G72"/>
    <mergeCell ref="B73:G73"/>
    <mergeCell ref="A14:K14"/>
    <mergeCell ref="C20:D21"/>
    <mergeCell ref="A4:K4"/>
    <mergeCell ref="A12:K12"/>
    <mergeCell ref="A9:K9"/>
    <mergeCell ref="A11:K11"/>
    <mergeCell ref="A8:K8"/>
    <mergeCell ref="A6:K6"/>
    <mergeCell ref="A16:K16"/>
    <mergeCell ref="A15:K15"/>
    <mergeCell ref="A18:K18"/>
    <mergeCell ref="B20:B22"/>
    <mergeCell ref="G20:G22"/>
    <mergeCell ref="A20:A22"/>
    <mergeCell ref="E20:F21"/>
    <mergeCell ref="H20:K20"/>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E30">
    <cfRule type="cellIs" dxfId="1" priority="3" operator="notEqual">
      <formula>E31+E32+E33+E34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55" zoomScaleNormal="55" workbookViewId="0">
      <selection activeCell="A26" sqref="A26:XFD26"/>
    </sheetView>
  </sheetViews>
  <sheetFormatPr defaultRowHeight="15" x14ac:dyDescent="0.25"/>
  <cols>
    <col min="1" max="1" width="6.140625" style="55" customWidth="1"/>
    <col min="2" max="2" width="23.140625" style="55" customWidth="1"/>
    <col min="3" max="3" width="22.7109375" style="55" customWidth="1"/>
    <col min="4" max="4" width="15.140625" style="55" customWidth="1"/>
    <col min="5" max="12" width="7.7109375" style="55" customWidth="1"/>
    <col min="13" max="15" width="10.7109375" style="55" customWidth="1"/>
    <col min="16" max="17" width="13.42578125" style="55" customWidth="1"/>
    <col min="18" max="18" width="17" style="55" customWidth="1"/>
    <col min="19" max="20" width="9.7109375" style="55" customWidth="1"/>
    <col min="21" max="21" width="11.42578125" style="55" customWidth="1"/>
    <col min="22" max="22" width="12.7109375" style="55" customWidth="1"/>
    <col min="23" max="25" width="10.7109375" style="55" customWidth="1"/>
    <col min="26" max="26" width="7.7109375" style="55" customWidth="1"/>
    <col min="27" max="30" width="10.7109375" style="55" customWidth="1"/>
    <col min="31" max="31" width="15.85546875" style="55" customWidth="1"/>
    <col min="32" max="32" width="11.7109375" style="55" customWidth="1"/>
    <col min="33" max="33" width="11.5703125" style="55" customWidth="1"/>
    <col min="34" max="35" width="9.7109375" style="55" customWidth="1"/>
    <col min="36" max="36" width="11.7109375" style="55" customWidth="1"/>
    <col min="37" max="37" width="12" style="55" customWidth="1"/>
    <col min="38" max="38" width="12.28515625" style="55" customWidth="1"/>
    <col min="39" max="41" width="9.7109375" style="55" customWidth="1"/>
    <col min="42" max="42" width="12.42578125" style="55" customWidth="1"/>
    <col min="43" max="43" width="12" style="55" customWidth="1"/>
    <col min="44" max="44" width="14.140625" style="55" customWidth="1"/>
    <col min="45" max="46" width="13.28515625" style="55" customWidth="1"/>
    <col min="47" max="47" width="10.7109375" style="55" customWidth="1"/>
    <col min="48" max="48" width="15.7109375" style="55" customWidth="1"/>
    <col min="49" max="16384" width="9.140625" style="55"/>
  </cols>
  <sheetData>
    <row r="1" spans="1:48" ht="18.75" x14ac:dyDescent="0.25">
      <c r="AV1" s="40" t="s">
        <v>23</v>
      </c>
    </row>
    <row r="2" spans="1:48" ht="18.75" x14ac:dyDescent="0.3">
      <c r="AV2" s="41" t="s">
        <v>7</v>
      </c>
    </row>
    <row r="3" spans="1:48" ht="18.75" x14ac:dyDescent="0.3">
      <c r="AV3" s="41" t="s">
        <v>22</v>
      </c>
    </row>
    <row r="4" spans="1:48" ht="18.75" x14ac:dyDescent="0.3">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41"/>
    </row>
    <row r="5" spans="1:48" ht="18.75" customHeight="1" x14ac:dyDescent="0.25">
      <c r="A5" s="209" t="str">
        <f>'1. паспорт местоположение'!$A$5</f>
        <v>Год раскрытия информации: 2019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row>
    <row r="6" spans="1:48" ht="18.75" x14ac:dyDescent="0.3">
      <c r="A6" s="105"/>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41"/>
    </row>
    <row r="7" spans="1:48" ht="18.75" x14ac:dyDescent="0.25">
      <c r="A7" s="312" t="s">
        <v>6</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8.75" x14ac:dyDescent="0.25">
      <c r="A9" s="313" t="s">
        <v>252</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11" t="s">
        <v>5</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8.75" x14ac:dyDescent="0.25">
      <c r="A12" s="313" t="str">
        <f>'6.2. Паспорт фин осв ввод'!A11:K11</f>
        <v>I_Che134</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row>
    <row r="13" spans="1:48" ht="15.75" x14ac:dyDescent="0.25">
      <c r="A13" s="311" t="s">
        <v>4</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row>
    <row r="15" spans="1:48" ht="15.75" x14ac:dyDescent="0.25">
      <c r="A15" s="318"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c r="AS15" s="318"/>
      <c r="AT15" s="318"/>
      <c r="AU15" s="318"/>
      <c r="AV15" s="318"/>
    </row>
    <row r="16" spans="1:48" ht="15.75" x14ac:dyDescent="0.25">
      <c r="A16" s="311" t="s">
        <v>3</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x14ac:dyDescent="0.25">
      <c r="A21" s="306" t="s">
        <v>409</v>
      </c>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6"/>
      <c r="AI21" s="306"/>
      <c r="AJ21" s="306"/>
      <c r="AK21" s="306"/>
      <c r="AL21" s="306"/>
      <c r="AM21" s="306"/>
      <c r="AN21" s="306"/>
      <c r="AO21" s="306"/>
      <c r="AP21" s="306"/>
      <c r="AQ21" s="306"/>
      <c r="AR21" s="306"/>
      <c r="AS21" s="306"/>
      <c r="AT21" s="306"/>
      <c r="AU21" s="306"/>
      <c r="AV21" s="306"/>
    </row>
    <row r="22" spans="1:48" ht="58.5" customHeight="1" x14ac:dyDescent="0.25">
      <c r="A22" s="299" t="s">
        <v>410</v>
      </c>
      <c r="B22" s="308" t="s">
        <v>471</v>
      </c>
      <c r="C22" s="299" t="s">
        <v>411</v>
      </c>
      <c r="D22" s="299" t="s">
        <v>412</v>
      </c>
      <c r="E22" s="314" t="s">
        <v>413</v>
      </c>
      <c r="F22" s="315"/>
      <c r="G22" s="315"/>
      <c r="H22" s="315"/>
      <c r="I22" s="315"/>
      <c r="J22" s="315"/>
      <c r="K22" s="315"/>
      <c r="L22" s="316"/>
      <c r="M22" s="299" t="s">
        <v>414</v>
      </c>
      <c r="N22" s="299" t="s">
        <v>415</v>
      </c>
      <c r="O22" s="299" t="s">
        <v>416</v>
      </c>
      <c r="P22" s="298" t="s">
        <v>417</v>
      </c>
      <c r="Q22" s="298" t="s">
        <v>418</v>
      </c>
      <c r="R22" s="298" t="s">
        <v>419</v>
      </c>
      <c r="S22" s="298" t="s">
        <v>420</v>
      </c>
      <c r="T22" s="298"/>
      <c r="U22" s="303" t="s">
        <v>421</v>
      </c>
      <c r="V22" s="303" t="s">
        <v>422</v>
      </c>
      <c r="W22" s="298" t="s">
        <v>423</v>
      </c>
      <c r="X22" s="298" t="s">
        <v>424</v>
      </c>
      <c r="Y22" s="298" t="s">
        <v>425</v>
      </c>
      <c r="Z22" s="304" t="s">
        <v>426</v>
      </c>
      <c r="AA22" s="298" t="s">
        <v>427</v>
      </c>
      <c r="AB22" s="298" t="s">
        <v>428</v>
      </c>
      <c r="AC22" s="298" t="s">
        <v>429</v>
      </c>
      <c r="AD22" s="298" t="s">
        <v>430</v>
      </c>
      <c r="AE22" s="298" t="s">
        <v>431</v>
      </c>
      <c r="AF22" s="298" t="s">
        <v>432</v>
      </c>
      <c r="AG22" s="298"/>
      <c r="AH22" s="298"/>
      <c r="AI22" s="298"/>
      <c r="AJ22" s="298"/>
      <c r="AK22" s="298"/>
      <c r="AL22" s="298" t="s">
        <v>433</v>
      </c>
      <c r="AM22" s="298"/>
      <c r="AN22" s="298"/>
      <c r="AO22" s="298"/>
      <c r="AP22" s="298" t="s">
        <v>434</v>
      </c>
      <c r="AQ22" s="298"/>
      <c r="AR22" s="298" t="s">
        <v>435</v>
      </c>
      <c r="AS22" s="298" t="s">
        <v>436</v>
      </c>
      <c r="AT22" s="298" t="s">
        <v>437</v>
      </c>
      <c r="AU22" s="298" t="s">
        <v>438</v>
      </c>
      <c r="AV22" s="288" t="s">
        <v>439</v>
      </c>
    </row>
    <row r="23" spans="1:48" ht="64.5" customHeight="1" x14ac:dyDescent="0.25">
      <c r="A23" s="307"/>
      <c r="B23" s="309"/>
      <c r="C23" s="307"/>
      <c r="D23" s="307"/>
      <c r="E23" s="290" t="s">
        <v>440</v>
      </c>
      <c r="F23" s="292" t="s">
        <v>41</v>
      </c>
      <c r="G23" s="292" t="s">
        <v>40</v>
      </c>
      <c r="H23" s="292" t="s">
        <v>39</v>
      </c>
      <c r="I23" s="294" t="s">
        <v>441</v>
      </c>
      <c r="J23" s="294" t="s">
        <v>442</v>
      </c>
      <c r="K23" s="294" t="s">
        <v>443</v>
      </c>
      <c r="L23" s="292" t="s">
        <v>401</v>
      </c>
      <c r="M23" s="307"/>
      <c r="N23" s="307"/>
      <c r="O23" s="307"/>
      <c r="P23" s="298"/>
      <c r="Q23" s="298"/>
      <c r="R23" s="298"/>
      <c r="S23" s="296" t="s">
        <v>1</v>
      </c>
      <c r="T23" s="296" t="s">
        <v>444</v>
      </c>
      <c r="U23" s="303"/>
      <c r="V23" s="303"/>
      <c r="W23" s="298"/>
      <c r="X23" s="298"/>
      <c r="Y23" s="298"/>
      <c r="Z23" s="298"/>
      <c r="AA23" s="298"/>
      <c r="AB23" s="298"/>
      <c r="AC23" s="298"/>
      <c r="AD23" s="298"/>
      <c r="AE23" s="298"/>
      <c r="AF23" s="298" t="s">
        <v>445</v>
      </c>
      <c r="AG23" s="298"/>
      <c r="AH23" s="298" t="s">
        <v>446</v>
      </c>
      <c r="AI23" s="298"/>
      <c r="AJ23" s="299" t="s">
        <v>447</v>
      </c>
      <c r="AK23" s="299" t="s">
        <v>448</v>
      </c>
      <c r="AL23" s="299" t="s">
        <v>449</v>
      </c>
      <c r="AM23" s="299" t="s">
        <v>450</v>
      </c>
      <c r="AN23" s="299" t="s">
        <v>451</v>
      </c>
      <c r="AO23" s="299" t="s">
        <v>452</v>
      </c>
      <c r="AP23" s="299" t="s">
        <v>453</v>
      </c>
      <c r="AQ23" s="301" t="s">
        <v>444</v>
      </c>
      <c r="AR23" s="298"/>
      <c r="AS23" s="298"/>
      <c r="AT23" s="298"/>
      <c r="AU23" s="298"/>
      <c r="AV23" s="289"/>
    </row>
    <row r="24" spans="1:48" ht="96.75" customHeight="1" x14ac:dyDescent="0.25">
      <c r="A24" s="300"/>
      <c r="B24" s="310"/>
      <c r="C24" s="300"/>
      <c r="D24" s="300"/>
      <c r="E24" s="291"/>
      <c r="F24" s="293"/>
      <c r="G24" s="293"/>
      <c r="H24" s="293"/>
      <c r="I24" s="295"/>
      <c r="J24" s="295"/>
      <c r="K24" s="295"/>
      <c r="L24" s="293"/>
      <c r="M24" s="300"/>
      <c r="N24" s="300"/>
      <c r="O24" s="300"/>
      <c r="P24" s="298"/>
      <c r="Q24" s="298"/>
      <c r="R24" s="298"/>
      <c r="S24" s="297"/>
      <c r="T24" s="297"/>
      <c r="U24" s="303"/>
      <c r="V24" s="303"/>
      <c r="W24" s="298"/>
      <c r="X24" s="298"/>
      <c r="Y24" s="298"/>
      <c r="Z24" s="298"/>
      <c r="AA24" s="298"/>
      <c r="AB24" s="298"/>
      <c r="AC24" s="298"/>
      <c r="AD24" s="298"/>
      <c r="AE24" s="298"/>
      <c r="AF24" s="93" t="s">
        <v>454</v>
      </c>
      <c r="AG24" s="93" t="s">
        <v>455</v>
      </c>
      <c r="AH24" s="56" t="s">
        <v>1</v>
      </c>
      <c r="AI24" s="56" t="s">
        <v>444</v>
      </c>
      <c r="AJ24" s="300"/>
      <c r="AK24" s="300"/>
      <c r="AL24" s="300"/>
      <c r="AM24" s="300"/>
      <c r="AN24" s="300"/>
      <c r="AO24" s="300"/>
      <c r="AP24" s="300"/>
      <c r="AQ24" s="302"/>
      <c r="AR24" s="298"/>
      <c r="AS24" s="298"/>
      <c r="AT24" s="298"/>
      <c r="AU24" s="298"/>
      <c r="AV24" s="289"/>
    </row>
    <row r="25" spans="1:48" s="107" customFormat="1" ht="11.25" x14ac:dyDescent="0.2">
      <c r="A25" s="106">
        <v>1</v>
      </c>
      <c r="B25" s="106">
        <v>2</v>
      </c>
      <c r="C25" s="106">
        <v>4</v>
      </c>
      <c r="D25" s="106">
        <v>5</v>
      </c>
      <c r="E25" s="106">
        <v>6</v>
      </c>
      <c r="F25" s="106">
        <f t="shared" ref="F25:AV25" si="0">E25+1</f>
        <v>7</v>
      </c>
      <c r="G25" s="106">
        <f t="shared" si="0"/>
        <v>8</v>
      </c>
      <c r="H25" s="106">
        <f t="shared" si="0"/>
        <v>9</v>
      </c>
      <c r="I25" s="106">
        <f t="shared" si="0"/>
        <v>10</v>
      </c>
      <c r="J25" s="106">
        <f t="shared" si="0"/>
        <v>11</v>
      </c>
      <c r="K25" s="106">
        <f t="shared" si="0"/>
        <v>12</v>
      </c>
      <c r="L25" s="106">
        <f t="shared" si="0"/>
        <v>13</v>
      </c>
      <c r="M25" s="106">
        <f t="shared" si="0"/>
        <v>14</v>
      </c>
      <c r="N25" s="106">
        <f t="shared" si="0"/>
        <v>15</v>
      </c>
      <c r="O25" s="106">
        <f t="shared" si="0"/>
        <v>16</v>
      </c>
      <c r="P25" s="106">
        <f t="shared" si="0"/>
        <v>17</v>
      </c>
      <c r="Q25" s="106">
        <f t="shared" si="0"/>
        <v>18</v>
      </c>
      <c r="R25" s="106">
        <f t="shared" si="0"/>
        <v>19</v>
      </c>
      <c r="S25" s="106">
        <f t="shared" si="0"/>
        <v>20</v>
      </c>
      <c r="T25" s="106">
        <f t="shared" si="0"/>
        <v>21</v>
      </c>
      <c r="U25" s="106">
        <f t="shared" si="0"/>
        <v>22</v>
      </c>
      <c r="V25" s="106">
        <f t="shared" si="0"/>
        <v>23</v>
      </c>
      <c r="W25" s="106">
        <f t="shared" si="0"/>
        <v>24</v>
      </c>
      <c r="X25" s="106">
        <f t="shared" si="0"/>
        <v>25</v>
      </c>
      <c r="Y25" s="106">
        <f t="shared" si="0"/>
        <v>26</v>
      </c>
      <c r="Z25" s="106">
        <f t="shared" si="0"/>
        <v>27</v>
      </c>
      <c r="AA25" s="106">
        <f t="shared" si="0"/>
        <v>28</v>
      </c>
      <c r="AB25" s="106">
        <f t="shared" si="0"/>
        <v>29</v>
      </c>
      <c r="AC25" s="106">
        <f t="shared" si="0"/>
        <v>30</v>
      </c>
      <c r="AD25" s="106">
        <f t="shared" si="0"/>
        <v>31</v>
      </c>
      <c r="AE25" s="106">
        <f t="shared" si="0"/>
        <v>32</v>
      </c>
      <c r="AF25" s="106">
        <f t="shared" si="0"/>
        <v>33</v>
      </c>
      <c r="AG25" s="106">
        <f t="shared" si="0"/>
        <v>34</v>
      </c>
      <c r="AH25" s="106">
        <f t="shared" si="0"/>
        <v>35</v>
      </c>
      <c r="AI25" s="106">
        <f t="shared" si="0"/>
        <v>36</v>
      </c>
      <c r="AJ25" s="106">
        <f t="shared" si="0"/>
        <v>37</v>
      </c>
      <c r="AK25" s="106">
        <f t="shared" si="0"/>
        <v>38</v>
      </c>
      <c r="AL25" s="106">
        <f t="shared" si="0"/>
        <v>39</v>
      </c>
      <c r="AM25" s="106">
        <f t="shared" si="0"/>
        <v>40</v>
      </c>
      <c r="AN25" s="106">
        <f t="shared" si="0"/>
        <v>41</v>
      </c>
      <c r="AO25" s="106">
        <f t="shared" si="0"/>
        <v>42</v>
      </c>
      <c r="AP25" s="106">
        <f t="shared" si="0"/>
        <v>43</v>
      </c>
      <c r="AQ25" s="106">
        <f t="shared" si="0"/>
        <v>44</v>
      </c>
      <c r="AR25" s="106">
        <f t="shared" si="0"/>
        <v>45</v>
      </c>
      <c r="AS25" s="106">
        <f t="shared" si="0"/>
        <v>46</v>
      </c>
      <c r="AT25" s="106">
        <f t="shared" si="0"/>
        <v>47</v>
      </c>
      <c r="AU25" s="106">
        <f t="shared" si="0"/>
        <v>48</v>
      </c>
      <c r="AV25" s="106">
        <f t="shared" si="0"/>
        <v>49</v>
      </c>
    </row>
    <row r="26" spans="1:48" x14ac:dyDescent="0.25">
      <c r="A26" s="196" t="s">
        <v>319</v>
      </c>
      <c r="B26" s="196" t="s">
        <v>319</v>
      </c>
      <c r="C26" s="196" t="s">
        <v>319</v>
      </c>
      <c r="D26" s="196" t="s">
        <v>319</v>
      </c>
      <c r="E26" s="196" t="s">
        <v>319</v>
      </c>
      <c r="F26" s="196" t="s">
        <v>319</v>
      </c>
      <c r="G26" s="196" t="s">
        <v>319</v>
      </c>
      <c r="H26" s="196" t="s">
        <v>319</v>
      </c>
      <c r="I26" s="196" t="s">
        <v>319</v>
      </c>
      <c r="J26" s="196" t="s">
        <v>319</v>
      </c>
      <c r="K26" s="196" t="s">
        <v>319</v>
      </c>
      <c r="L26" s="196" t="s">
        <v>319</v>
      </c>
      <c r="M26" s="196" t="s">
        <v>319</v>
      </c>
      <c r="N26" s="196" t="s">
        <v>319</v>
      </c>
      <c r="O26" s="196" t="s">
        <v>319</v>
      </c>
      <c r="P26" s="197" t="s">
        <v>319</v>
      </c>
      <c r="Q26" s="197" t="s">
        <v>319</v>
      </c>
      <c r="R26" s="197" t="s">
        <v>319</v>
      </c>
      <c r="S26" s="197" t="s">
        <v>319</v>
      </c>
      <c r="T26" s="197" t="s">
        <v>319</v>
      </c>
      <c r="U26" s="197" t="s">
        <v>319</v>
      </c>
      <c r="V26" s="197" t="s">
        <v>319</v>
      </c>
      <c r="W26" s="197" t="s">
        <v>319</v>
      </c>
      <c r="X26" s="197" t="s">
        <v>319</v>
      </c>
      <c r="Y26" s="197" t="s">
        <v>319</v>
      </c>
      <c r="Z26" s="197" t="s">
        <v>319</v>
      </c>
      <c r="AA26" s="197" t="s">
        <v>319</v>
      </c>
      <c r="AB26" s="197" t="s">
        <v>319</v>
      </c>
      <c r="AC26" s="197" t="s">
        <v>319</v>
      </c>
      <c r="AD26" s="197" t="s">
        <v>319</v>
      </c>
      <c r="AE26" s="197" t="s">
        <v>319</v>
      </c>
      <c r="AF26" s="197" t="s">
        <v>319</v>
      </c>
      <c r="AG26" s="197" t="s">
        <v>319</v>
      </c>
      <c r="AH26" s="197" t="s">
        <v>319</v>
      </c>
      <c r="AI26" s="197" t="s">
        <v>319</v>
      </c>
      <c r="AJ26" s="197" t="s">
        <v>319</v>
      </c>
      <c r="AK26" s="197" t="s">
        <v>319</v>
      </c>
      <c r="AL26" s="197" t="s">
        <v>319</v>
      </c>
      <c r="AM26" s="197" t="s">
        <v>319</v>
      </c>
      <c r="AN26" s="197" t="s">
        <v>319</v>
      </c>
      <c r="AO26" s="197" t="s">
        <v>319</v>
      </c>
      <c r="AP26" s="197" t="s">
        <v>319</v>
      </c>
      <c r="AQ26" s="197" t="s">
        <v>319</v>
      </c>
      <c r="AR26" s="197" t="s">
        <v>319</v>
      </c>
      <c r="AS26" s="197" t="s">
        <v>319</v>
      </c>
      <c r="AT26" s="197" t="s">
        <v>319</v>
      </c>
      <c r="AU26" s="197" t="s">
        <v>319</v>
      </c>
      <c r="AV26" s="198"/>
    </row>
  </sheetData>
  <mergeCells count="67">
    <mergeCell ref="R22:R24"/>
    <mergeCell ref="A10:AV10"/>
    <mergeCell ref="A11:AV11"/>
    <mergeCell ref="A5:AV5"/>
    <mergeCell ref="A7:AV7"/>
    <mergeCell ref="A8:AV8"/>
    <mergeCell ref="A9:AV9"/>
    <mergeCell ref="N22:N24"/>
    <mergeCell ref="D22:D24"/>
    <mergeCell ref="E22:L22"/>
    <mergeCell ref="M22:M24"/>
    <mergeCell ref="A12:AV12"/>
    <mergeCell ref="A13:AV13"/>
    <mergeCell ref="A14:AV14"/>
    <mergeCell ref="A15:AV15"/>
    <mergeCell ref="A16:AV16"/>
    <mergeCell ref="A17:AV17"/>
    <mergeCell ref="Y22:Y24"/>
    <mergeCell ref="S22:T22"/>
    <mergeCell ref="T23:T24"/>
    <mergeCell ref="A18:AV18"/>
    <mergeCell ref="A19:AV19"/>
    <mergeCell ref="A20:AV20"/>
    <mergeCell ref="A21:AV21"/>
    <mergeCell ref="A22:A24"/>
    <mergeCell ref="B22:B24"/>
    <mergeCell ref="C22:C24"/>
    <mergeCell ref="AL22:AO22"/>
    <mergeCell ref="O22:O24"/>
    <mergeCell ref="P22:P24"/>
    <mergeCell ref="Q22:Q24"/>
    <mergeCell ref="AJ23:AJ24"/>
    <mergeCell ref="U22:U24"/>
    <mergeCell ref="V22:V24"/>
    <mergeCell ref="W22:W24"/>
    <mergeCell ref="X22:X24"/>
    <mergeCell ref="AF23:AG23"/>
    <mergeCell ref="Z22:Z24"/>
    <mergeCell ref="AE22:AE24"/>
    <mergeCell ref="AF22:AK22"/>
    <mergeCell ref="AH23:AI23"/>
    <mergeCell ref="AA22:AA24"/>
    <mergeCell ref="AB22:AB24"/>
    <mergeCell ref="AC22:AC24"/>
    <mergeCell ref="AD22:AD24"/>
    <mergeCell ref="AK23:AK24"/>
    <mergeCell ref="AO23:AO24"/>
    <mergeCell ref="AP23:AP24"/>
    <mergeCell ref="AQ23:AQ24"/>
    <mergeCell ref="AP22:AQ22"/>
    <mergeCell ref="AR22:AR24"/>
    <mergeCell ref="AV22:AV24"/>
    <mergeCell ref="E23:E24"/>
    <mergeCell ref="F23:F24"/>
    <mergeCell ref="G23:G24"/>
    <mergeCell ref="H23:H24"/>
    <mergeCell ref="I23:I24"/>
    <mergeCell ref="J23:J24"/>
    <mergeCell ref="K23:K24"/>
    <mergeCell ref="L23:L24"/>
    <mergeCell ref="S23:S24"/>
    <mergeCell ref="AT22:AT24"/>
    <mergeCell ref="AU22:AU24"/>
    <mergeCell ref="AL23:AL24"/>
    <mergeCell ref="AM23:AM24"/>
    <mergeCell ref="AN23:AN24"/>
    <mergeCell ref="AS22:AS24"/>
  </mergeCells>
  <phoneticPr fontId="7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4" zoomScale="85" zoomScaleNormal="85" workbookViewId="0">
      <selection activeCell="E31" sqref="E31"/>
    </sheetView>
  </sheetViews>
  <sheetFormatPr defaultRowHeight="15.75" x14ac:dyDescent="0.25"/>
  <cols>
    <col min="1" max="2" width="66.140625" style="23" customWidth="1"/>
    <col min="3" max="16384" width="9.140625" style="24"/>
  </cols>
  <sheetData>
    <row r="1" spans="1:8" ht="18.75" x14ac:dyDescent="0.25">
      <c r="B1" s="40" t="s">
        <v>23</v>
      </c>
    </row>
    <row r="2" spans="1:8" ht="18.75" x14ac:dyDescent="0.3">
      <c r="B2" s="41" t="s">
        <v>7</v>
      </c>
    </row>
    <row r="3" spans="1:8" ht="18.75" x14ac:dyDescent="0.3">
      <c r="B3" s="41" t="s">
        <v>140</v>
      </c>
    </row>
    <row r="4" spans="1:8" x14ac:dyDescent="0.25">
      <c r="B4" s="5"/>
    </row>
    <row r="5" spans="1:8" ht="18.75" x14ac:dyDescent="0.3">
      <c r="A5" s="322" t="str">
        <f>'1. паспорт местоположение'!$A$5</f>
        <v>Год раскрытия информации: 2019 год</v>
      </c>
      <c r="B5" s="322"/>
      <c r="C5" s="16"/>
      <c r="D5" s="16"/>
      <c r="E5" s="16"/>
      <c r="F5" s="16"/>
      <c r="G5" s="16"/>
      <c r="H5" s="16"/>
    </row>
    <row r="6" spans="1:8" ht="18.75" x14ac:dyDescent="0.3">
      <c r="A6" s="94"/>
      <c r="B6" s="94"/>
      <c r="C6" s="94"/>
      <c r="D6" s="94"/>
      <c r="E6" s="94"/>
      <c r="F6" s="94"/>
      <c r="G6" s="94"/>
      <c r="H6" s="94"/>
    </row>
    <row r="7" spans="1:8" ht="18.75" x14ac:dyDescent="0.25">
      <c r="A7" s="213" t="s">
        <v>6</v>
      </c>
      <c r="B7" s="213"/>
      <c r="C7" s="95"/>
      <c r="D7" s="95"/>
      <c r="E7" s="95"/>
      <c r="F7" s="95"/>
      <c r="G7" s="95"/>
      <c r="H7" s="95"/>
    </row>
    <row r="8" spans="1:8" ht="18.75" x14ac:dyDescent="0.25">
      <c r="A8" s="95"/>
      <c r="B8" s="95"/>
      <c r="C8" s="95"/>
      <c r="D8" s="95"/>
      <c r="E8" s="95"/>
      <c r="F8" s="95"/>
      <c r="G8" s="95"/>
      <c r="H8" s="95"/>
    </row>
    <row r="9" spans="1:8" x14ac:dyDescent="0.25">
      <c r="A9" s="214" t="s">
        <v>252</v>
      </c>
      <c r="B9" s="214"/>
      <c r="C9" s="98"/>
      <c r="D9" s="98"/>
      <c r="E9" s="98"/>
      <c r="F9" s="98"/>
      <c r="G9" s="98"/>
      <c r="H9" s="98"/>
    </row>
    <row r="10" spans="1:8" x14ac:dyDescent="0.25">
      <c r="A10" s="215" t="s">
        <v>5</v>
      </c>
      <c r="B10" s="215"/>
      <c r="C10" s="99"/>
      <c r="D10" s="99"/>
      <c r="E10" s="99"/>
      <c r="F10" s="99"/>
      <c r="G10" s="99"/>
      <c r="H10" s="99"/>
    </row>
    <row r="11" spans="1:8" ht="18.75" x14ac:dyDescent="0.25">
      <c r="A11" s="95"/>
      <c r="B11" s="95"/>
      <c r="C11" s="95"/>
      <c r="D11" s="95"/>
      <c r="E11" s="95"/>
      <c r="F11" s="95"/>
      <c r="G11" s="95"/>
      <c r="H11" s="95"/>
    </row>
    <row r="12" spans="1:8" ht="30.75" customHeight="1" x14ac:dyDescent="0.25">
      <c r="A12" s="321" t="str">
        <f>'1. паспорт местоположение'!A12:C12</f>
        <v>I_Che134</v>
      </c>
      <c r="B12" s="214"/>
      <c r="C12" s="98"/>
      <c r="D12" s="98"/>
      <c r="E12" s="98"/>
      <c r="F12" s="98"/>
      <c r="G12" s="98"/>
      <c r="H12" s="98"/>
    </row>
    <row r="13" spans="1:8" x14ac:dyDescent="0.25">
      <c r="A13" s="215" t="s">
        <v>4</v>
      </c>
      <c r="B13" s="215"/>
      <c r="C13" s="99"/>
      <c r="D13" s="99"/>
      <c r="E13" s="99"/>
      <c r="F13" s="99"/>
      <c r="G13" s="99"/>
      <c r="H13" s="99"/>
    </row>
    <row r="14" spans="1:8" ht="18.75" x14ac:dyDescent="0.25">
      <c r="A14" s="1"/>
      <c r="B14" s="1"/>
      <c r="C14" s="1"/>
      <c r="D14" s="1"/>
      <c r="E14" s="1"/>
      <c r="F14" s="1"/>
      <c r="G14" s="1"/>
      <c r="H14" s="1"/>
    </row>
    <row r="15" spans="1:8" ht="45" customHeight="1" x14ac:dyDescent="0.25">
      <c r="A15" s="216"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16"/>
      <c r="C15" s="98"/>
      <c r="D15" s="98"/>
      <c r="E15" s="98"/>
      <c r="F15" s="98"/>
      <c r="G15" s="98"/>
      <c r="H15" s="98"/>
    </row>
    <row r="16" spans="1:8" x14ac:dyDescent="0.25">
      <c r="A16" s="215" t="s">
        <v>3</v>
      </c>
      <c r="B16" s="215"/>
      <c r="C16" s="99"/>
      <c r="D16" s="99"/>
      <c r="E16" s="99"/>
      <c r="F16" s="99"/>
      <c r="G16" s="99"/>
      <c r="H16" s="99"/>
    </row>
    <row r="17" spans="1:2" x14ac:dyDescent="0.25">
      <c r="B17" s="25"/>
    </row>
    <row r="18" spans="1:2" ht="33.75" customHeight="1" x14ac:dyDescent="0.25">
      <c r="A18" s="319" t="s">
        <v>244</v>
      </c>
      <c r="B18" s="320"/>
    </row>
    <row r="19" spans="1:2" x14ac:dyDescent="0.25">
      <c r="B19" s="5"/>
    </row>
    <row r="20" spans="1:2" ht="16.5" thickBot="1" x14ac:dyDescent="0.3">
      <c r="B20" s="26"/>
    </row>
    <row r="21" spans="1:2" s="60" customFormat="1" ht="60.75" customHeight="1" thickBot="1" x14ac:dyDescent="0.3">
      <c r="A21" s="58" t="s">
        <v>144</v>
      </c>
      <c r="B21" s="100" t="str">
        <f>'1. паспорт местоположение'!A15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row>
    <row r="22" spans="1:2" s="60" customFormat="1" ht="16.5" thickBot="1" x14ac:dyDescent="0.3">
      <c r="A22" s="58" t="s">
        <v>145</v>
      </c>
      <c r="B22" s="100" t="str">
        <f>'1. паспорт местоположение'!C27</f>
        <v>г.Грозный</v>
      </c>
    </row>
    <row r="23" spans="1:2" s="60" customFormat="1" ht="16.5" customHeight="1" thickBot="1" x14ac:dyDescent="0.3">
      <c r="A23" s="58" t="s">
        <v>141</v>
      </c>
      <c r="B23" s="100"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60" customFormat="1" ht="16.5" thickBot="1" x14ac:dyDescent="0.3">
      <c r="A24" s="58" t="s">
        <v>146</v>
      </c>
      <c r="B24" s="101">
        <v>0</v>
      </c>
    </row>
    <row r="25" spans="1:2" s="60" customFormat="1" ht="16.5" thickBot="1" x14ac:dyDescent="0.3">
      <c r="A25" s="61" t="s">
        <v>147</v>
      </c>
      <c r="B25" s="100">
        <f>VLOOKUP($A$12,'[1]6.2. отчет'!$D:$OM,400,0)</f>
        <v>2019</v>
      </c>
    </row>
    <row r="26" spans="1:2" s="60" customFormat="1" ht="16.5" thickBot="1" x14ac:dyDescent="0.3">
      <c r="A26" s="62" t="s">
        <v>148</v>
      </c>
      <c r="B26" s="101" t="str">
        <f>'3.3 паспорт описание'!C30</f>
        <v>п</v>
      </c>
    </row>
    <row r="27" spans="1:2" s="60" customFormat="1" ht="18" customHeight="1" thickBot="1" x14ac:dyDescent="0.3">
      <c r="A27" s="63" t="s">
        <v>266</v>
      </c>
      <c r="B27" s="101">
        <f>VLOOKUP($A$12,'[1]6.2. отчет'!$D:$OT,407,0)</f>
        <v>3.8745762711864404E-2</v>
      </c>
    </row>
    <row r="28" spans="1:2" s="60" customFormat="1" ht="16.5" thickBot="1" x14ac:dyDescent="0.3">
      <c r="A28" s="59" t="s">
        <v>149</v>
      </c>
      <c r="B28" s="59" t="s">
        <v>254</v>
      </c>
    </row>
    <row r="29" spans="1:2" s="60" customFormat="1" ht="21" customHeight="1" thickBot="1" x14ac:dyDescent="0.3">
      <c r="A29" s="58" t="s">
        <v>150</v>
      </c>
      <c r="B29" s="59" t="s">
        <v>408</v>
      </c>
    </row>
    <row r="30" spans="1:2" s="60" customFormat="1" ht="29.25" thickBot="1" x14ac:dyDescent="0.3">
      <c r="A30" s="58" t="s">
        <v>151</v>
      </c>
      <c r="B30" s="59" t="s">
        <v>408</v>
      </c>
    </row>
    <row r="31" spans="1:2" s="60" customFormat="1" ht="16.5" thickBot="1" x14ac:dyDescent="0.3">
      <c r="A31" s="59" t="s">
        <v>152</v>
      </c>
      <c r="B31" s="59" t="s">
        <v>408</v>
      </c>
    </row>
    <row r="32" spans="1:2" s="60" customFormat="1" ht="29.25" thickBot="1" x14ac:dyDescent="0.3">
      <c r="A32" s="58" t="s">
        <v>153</v>
      </c>
      <c r="B32" s="59" t="s">
        <v>408</v>
      </c>
    </row>
    <row r="33" spans="1:2" s="60" customFormat="1" ht="16.5" thickBot="1" x14ac:dyDescent="0.3">
      <c r="A33" s="59" t="s">
        <v>154</v>
      </c>
      <c r="B33" s="59" t="s">
        <v>408</v>
      </c>
    </row>
    <row r="34" spans="1:2" s="60" customFormat="1" ht="16.5" thickBot="1" x14ac:dyDescent="0.3">
      <c r="A34" s="59" t="s">
        <v>155</v>
      </c>
      <c r="B34" s="59" t="s">
        <v>408</v>
      </c>
    </row>
    <row r="35" spans="1:2" s="60" customFormat="1" ht="16.5" thickBot="1" x14ac:dyDescent="0.3">
      <c r="A35" s="59" t="s">
        <v>156</v>
      </c>
      <c r="B35" s="59" t="s">
        <v>408</v>
      </c>
    </row>
    <row r="36" spans="1:2" s="60" customFormat="1" ht="16.5" thickBot="1" x14ac:dyDescent="0.3">
      <c r="A36" s="59" t="s">
        <v>157</v>
      </c>
      <c r="B36" s="59" t="s">
        <v>408</v>
      </c>
    </row>
    <row r="37" spans="1:2" s="60" customFormat="1" ht="29.25" thickBot="1" x14ac:dyDescent="0.3">
      <c r="A37" s="58" t="s">
        <v>158</v>
      </c>
      <c r="B37" s="59" t="s">
        <v>408</v>
      </c>
    </row>
    <row r="38" spans="1:2" s="60" customFormat="1" ht="16.5" thickBot="1" x14ac:dyDescent="0.3">
      <c r="A38" s="59" t="s">
        <v>154</v>
      </c>
      <c r="B38" s="59" t="s">
        <v>408</v>
      </c>
    </row>
    <row r="39" spans="1:2" s="60" customFormat="1" ht="16.5" thickBot="1" x14ac:dyDescent="0.3">
      <c r="A39" s="59" t="s">
        <v>155</v>
      </c>
      <c r="B39" s="59" t="s">
        <v>408</v>
      </c>
    </row>
    <row r="40" spans="1:2" s="60" customFormat="1" ht="16.5" thickBot="1" x14ac:dyDescent="0.3">
      <c r="A40" s="59" t="s">
        <v>156</v>
      </c>
      <c r="B40" s="59" t="s">
        <v>408</v>
      </c>
    </row>
    <row r="41" spans="1:2" s="60" customFormat="1" ht="16.5" thickBot="1" x14ac:dyDescent="0.3">
      <c r="A41" s="59" t="s">
        <v>157</v>
      </c>
      <c r="B41" s="59" t="s">
        <v>408</v>
      </c>
    </row>
    <row r="42" spans="1:2" s="60" customFormat="1" ht="29.25" thickBot="1" x14ac:dyDescent="0.3">
      <c r="A42" s="58" t="s">
        <v>159</v>
      </c>
      <c r="B42" s="59" t="s">
        <v>408</v>
      </c>
    </row>
    <row r="43" spans="1:2" s="60" customFormat="1" ht="16.5" thickBot="1" x14ac:dyDescent="0.3">
      <c r="A43" s="59" t="s">
        <v>154</v>
      </c>
      <c r="B43" s="59" t="s">
        <v>408</v>
      </c>
    </row>
    <row r="44" spans="1:2" s="60" customFormat="1" ht="16.5" thickBot="1" x14ac:dyDescent="0.3">
      <c r="A44" s="59" t="s">
        <v>155</v>
      </c>
      <c r="B44" s="59" t="s">
        <v>408</v>
      </c>
    </row>
    <row r="45" spans="1:2" s="60" customFormat="1" ht="16.5" thickBot="1" x14ac:dyDescent="0.3">
      <c r="A45" s="59" t="s">
        <v>156</v>
      </c>
      <c r="B45" s="59" t="s">
        <v>408</v>
      </c>
    </row>
    <row r="46" spans="1:2" s="60" customFormat="1" ht="16.5" thickBot="1" x14ac:dyDescent="0.3">
      <c r="A46" s="59" t="s">
        <v>157</v>
      </c>
      <c r="B46" s="59" t="s">
        <v>408</v>
      </c>
    </row>
    <row r="47" spans="1:2" s="60" customFormat="1" ht="29.25" thickBot="1" x14ac:dyDescent="0.3">
      <c r="A47" s="64" t="s">
        <v>160</v>
      </c>
      <c r="B47" s="59" t="s">
        <v>408</v>
      </c>
    </row>
    <row r="48" spans="1:2" s="60" customFormat="1" ht="16.5" thickBot="1" x14ac:dyDescent="0.3">
      <c r="A48" s="65" t="s">
        <v>152</v>
      </c>
      <c r="B48" s="59" t="s">
        <v>408</v>
      </c>
    </row>
    <row r="49" spans="1:2" s="60" customFormat="1" ht="16.5" thickBot="1" x14ac:dyDescent="0.3">
      <c r="A49" s="65" t="s">
        <v>161</v>
      </c>
      <c r="B49" s="59" t="s">
        <v>408</v>
      </c>
    </row>
    <row r="50" spans="1:2" s="60" customFormat="1" ht="16.5" thickBot="1" x14ac:dyDescent="0.3">
      <c r="A50" s="65" t="s">
        <v>162</v>
      </c>
      <c r="B50" s="59" t="s">
        <v>408</v>
      </c>
    </row>
    <row r="51" spans="1:2" s="60" customFormat="1" ht="16.5" thickBot="1" x14ac:dyDescent="0.3">
      <c r="A51" s="65" t="s">
        <v>163</v>
      </c>
      <c r="B51" s="59" t="s">
        <v>408</v>
      </c>
    </row>
    <row r="52" spans="1:2" s="60" customFormat="1" ht="16.5" thickBot="1" x14ac:dyDescent="0.3">
      <c r="A52" s="61" t="s">
        <v>164</v>
      </c>
      <c r="B52" s="103">
        <f>B53/$B$27</f>
        <v>-1</v>
      </c>
    </row>
    <row r="53" spans="1:2" s="60" customFormat="1" ht="16.5" thickBot="1" x14ac:dyDescent="0.3">
      <c r="A53" s="61" t="s">
        <v>165</v>
      </c>
      <c r="B53" s="102">
        <f>'6.2. Паспорт фин осв ввод'!$D$24-'6.2. Паспорт фин осв ввод'!$F$24</f>
        <v>-3.8745762711864404E-2</v>
      </c>
    </row>
    <row r="54" spans="1:2" s="60" customFormat="1" ht="16.5" thickBot="1" x14ac:dyDescent="0.3">
      <c r="A54" s="61" t="s">
        <v>166</v>
      </c>
      <c r="B54" s="103">
        <f>$B55/'6.2. Паспорт фин осв ввод'!$D$30</f>
        <v>-6.978507950364729E-2</v>
      </c>
    </row>
    <row r="55" spans="1:2" s="60" customFormat="1" ht="16.5" thickBot="1" x14ac:dyDescent="0.3">
      <c r="A55" s="62" t="s">
        <v>167</v>
      </c>
      <c r="B55" s="102">
        <f>'6.2. Паспорт фин осв ввод'!$D$30-'6.2. Паспорт фин осв ввод'!$F$30</f>
        <v>-2.1062455932203371E-3</v>
      </c>
    </row>
    <row r="56" spans="1:2" s="60" customFormat="1" ht="15.75" customHeight="1" x14ac:dyDescent="0.25">
      <c r="A56" s="64" t="s">
        <v>168</v>
      </c>
      <c r="B56" s="65"/>
    </row>
    <row r="57" spans="1:2" s="60" customFormat="1" ht="16.5" thickBot="1" x14ac:dyDescent="0.3">
      <c r="A57" s="66" t="s">
        <v>169</v>
      </c>
      <c r="B57" s="66" t="s">
        <v>252</v>
      </c>
    </row>
    <row r="58" spans="1:2" s="60" customFormat="1" ht="16.5" thickBot="1" x14ac:dyDescent="0.3">
      <c r="A58" s="66" t="s">
        <v>170</v>
      </c>
      <c r="B58" s="67" t="s">
        <v>408</v>
      </c>
    </row>
    <row r="59" spans="1:2" s="60" customFormat="1" ht="16.5" thickBot="1" x14ac:dyDescent="0.3">
      <c r="A59" s="66" t="s">
        <v>171</v>
      </c>
      <c r="B59" s="67" t="s">
        <v>408</v>
      </c>
    </row>
    <row r="60" spans="1:2" s="60" customFormat="1" ht="16.5" thickBot="1" x14ac:dyDescent="0.3">
      <c r="A60" s="66" t="s">
        <v>172</v>
      </c>
      <c r="B60" s="67" t="s">
        <v>408</v>
      </c>
    </row>
    <row r="61" spans="1:2" s="60" customFormat="1" ht="16.5" thickBot="1" x14ac:dyDescent="0.3">
      <c r="A61" s="68" t="s">
        <v>173</v>
      </c>
      <c r="B61" s="67" t="s">
        <v>408</v>
      </c>
    </row>
    <row r="62" spans="1:2" s="60" customFormat="1" ht="30.75" thickBot="1" x14ac:dyDescent="0.3">
      <c r="A62" s="65" t="s">
        <v>174</v>
      </c>
      <c r="B62" s="67" t="s">
        <v>408</v>
      </c>
    </row>
    <row r="63" spans="1:2" s="60" customFormat="1" ht="29.25" thickBot="1" x14ac:dyDescent="0.3">
      <c r="A63" s="61" t="s">
        <v>175</v>
      </c>
      <c r="B63" s="67" t="s">
        <v>408</v>
      </c>
    </row>
    <row r="64" spans="1:2" s="60" customFormat="1" ht="16.5" thickBot="1" x14ac:dyDescent="0.3">
      <c r="A64" s="65" t="s">
        <v>152</v>
      </c>
      <c r="B64" s="67" t="s">
        <v>408</v>
      </c>
    </row>
    <row r="65" spans="1:2" s="60" customFormat="1" ht="16.5" thickBot="1" x14ac:dyDescent="0.3">
      <c r="A65" s="65" t="s">
        <v>176</v>
      </c>
      <c r="B65" s="67" t="s">
        <v>408</v>
      </c>
    </row>
    <row r="66" spans="1:2" s="60" customFormat="1" ht="16.5" thickBot="1" x14ac:dyDescent="0.3">
      <c r="A66" s="65" t="s">
        <v>177</v>
      </c>
      <c r="B66" s="67" t="s">
        <v>408</v>
      </c>
    </row>
    <row r="67" spans="1:2" s="60" customFormat="1" ht="16.5" thickBot="1" x14ac:dyDescent="0.3">
      <c r="A67" s="27" t="s">
        <v>178</v>
      </c>
      <c r="B67" s="67" t="s">
        <v>408</v>
      </c>
    </row>
    <row r="68" spans="1:2" s="60" customFormat="1" ht="16.5" thickBot="1" x14ac:dyDescent="0.3">
      <c r="A68" s="61" t="s">
        <v>179</v>
      </c>
      <c r="B68" s="67" t="s">
        <v>408</v>
      </c>
    </row>
    <row r="69" spans="1:2" s="60" customFormat="1" ht="16.5" thickBot="1" x14ac:dyDescent="0.3">
      <c r="A69" s="66" t="s">
        <v>180</v>
      </c>
      <c r="B69" s="67" t="s">
        <v>408</v>
      </c>
    </row>
    <row r="70" spans="1:2" s="60" customFormat="1" ht="16.5" thickBot="1" x14ac:dyDescent="0.3">
      <c r="A70" s="66" t="s">
        <v>181</v>
      </c>
      <c r="B70" s="67" t="s">
        <v>408</v>
      </c>
    </row>
    <row r="71" spans="1:2" s="60" customFormat="1" ht="16.5" thickBot="1" x14ac:dyDescent="0.3">
      <c r="A71" s="66" t="s">
        <v>182</v>
      </c>
      <c r="B71" s="67" t="s">
        <v>408</v>
      </c>
    </row>
    <row r="72" spans="1:2" s="60" customFormat="1" ht="21" customHeight="1" thickBot="1" x14ac:dyDescent="0.3">
      <c r="A72" s="28" t="s">
        <v>183</v>
      </c>
      <c r="B72" s="104" t="str">
        <f>$B$26</f>
        <v>п</v>
      </c>
    </row>
    <row r="73" spans="1:2" s="60" customFormat="1" ht="29.25" thickBot="1" x14ac:dyDescent="0.3">
      <c r="A73" s="64" t="s">
        <v>184</v>
      </c>
      <c r="B73" s="65" t="s">
        <v>408</v>
      </c>
    </row>
    <row r="74" spans="1:2" s="60" customFormat="1" ht="16.5" thickBot="1" x14ac:dyDescent="0.3">
      <c r="A74" s="66" t="s">
        <v>185</v>
      </c>
      <c r="B74" s="65" t="s">
        <v>408</v>
      </c>
    </row>
    <row r="75" spans="1:2" s="60" customFormat="1" ht="16.5" thickBot="1" x14ac:dyDescent="0.3">
      <c r="A75" s="66" t="s">
        <v>186</v>
      </c>
      <c r="B75" s="65" t="s">
        <v>408</v>
      </c>
    </row>
    <row r="76" spans="1:2" s="60" customFormat="1" ht="16.5" thickBot="1" x14ac:dyDescent="0.3">
      <c r="A76" s="66" t="s">
        <v>187</v>
      </c>
      <c r="B76" s="65" t="s">
        <v>408</v>
      </c>
    </row>
    <row r="77" spans="1:2" s="60" customFormat="1" ht="16.5" thickBot="1" x14ac:dyDescent="0.3">
      <c r="A77" s="69" t="s">
        <v>188</v>
      </c>
      <c r="B77" s="67" t="s">
        <v>408</v>
      </c>
    </row>
    <row r="78" spans="1:2" s="60" customFormat="1" ht="16.5" thickBot="1" x14ac:dyDescent="0.3">
      <c r="A78" s="70" t="s">
        <v>189</v>
      </c>
      <c r="B78" s="68" t="s">
        <v>408</v>
      </c>
    </row>
    <row r="81" spans="1:2" x14ac:dyDescent="0.25">
      <c r="A81" s="29"/>
      <c r="B81" s="30"/>
    </row>
    <row r="82" spans="1:2" x14ac:dyDescent="0.25">
      <c r="B82" s="31"/>
    </row>
    <row r="83" spans="1:2" x14ac:dyDescent="0.25">
      <c r="B83" s="32"/>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topLeftCell="F16" zoomScale="55" zoomScaleNormal="55" workbookViewId="0">
      <selection activeCell="P43" sqref="P43"/>
    </sheetView>
  </sheetViews>
  <sheetFormatPr defaultRowHeight="15" x14ac:dyDescent="0.25"/>
  <cols>
    <col min="1" max="1" width="7.42578125" style="136" customWidth="1"/>
    <col min="2" max="2" width="35.85546875" style="136" customWidth="1"/>
    <col min="3" max="3" width="31.140625" style="136" customWidth="1"/>
    <col min="4" max="4" width="25" style="136" customWidth="1"/>
    <col min="5" max="5" width="50" style="136" customWidth="1"/>
    <col min="6" max="6" width="57" style="136" customWidth="1"/>
    <col min="7" max="7" width="57.5703125" style="136" customWidth="1"/>
    <col min="8" max="10" width="20.5703125" style="136" customWidth="1"/>
    <col min="11" max="11" width="16" style="136" customWidth="1"/>
    <col min="12" max="12" width="20.5703125" style="136" customWidth="1"/>
    <col min="13" max="13" width="21.28515625" style="136" customWidth="1"/>
    <col min="14" max="14" width="23.85546875" style="136" customWidth="1"/>
    <col min="15" max="15" width="17.85546875" style="136" customWidth="1"/>
    <col min="16" max="16" width="23.85546875" style="136" customWidth="1"/>
    <col min="17" max="17" width="58" style="136" customWidth="1"/>
    <col min="18" max="18" width="27" style="136" customWidth="1"/>
    <col min="19" max="19" width="43" style="136" customWidth="1"/>
    <col min="20" max="16384" width="9.140625" style="136"/>
  </cols>
  <sheetData>
    <row r="1" spans="1:28" s="39" customFormat="1" ht="18.75" customHeight="1" x14ac:dyDescent="0.2">
      <c r="A1" s="38"/>
      <c r="S1" s="40" t="s">
        <v>23</v>
      </c>
    </row>
    <row r="2" spans="1:28" s="39" customFormat="1" ht="18.75" customHeight="1" x14ac:dyDescent="0.3">
      <c r="A2" s="38"/>
      <c r="S2" s="41" t="s">
        <v>7</v>
      </c>
    </row>
    <row r="3" spans="1:28" s="39" customFormat="1" ht="18.75" x14ac:dyDescent="0.3">
      <c r="S3" s="41" t="s">
        <v>22</v>
      </c>
    </row>
    <row r="4" spans="1:28" s="39" customFormat="1" ht="18.75" customHeight="1" x14ac:dyDescent="0.2">
      <c r="A4" s="209" t="str">
        <f>'1. паспорт местоположение'!$A$5</f>
        <v>Год раскрытия информации: 2019 год</v>
      </c>
      <c r="B4" s="209"/>
      <c r="C4" s="209"/>
      <c r="D4" s="209"/>
      <c r="E4" s="209"/>
      <c r="F4" s="209"/>
      <c r="G4" s="209"/>
      <c r="H4" s="209"/>
      <c r="I4" s="209"/>
      <c r="J4" s="209"/>
      <c r="K4" s="209"/>
      <c r="L4" s="209"/>
      <c r="M4" s="209"/>
      <c r="N4" s="209"/>
      <c r="O4" s="209"/>
      <c r="P4" s="209"/>
      <c r="Q4" s="209"/>
      <c r="R4" s="209"/>
      <c r="S4" s="209"/>
    </row>
    <row r="5" spans="1:28" s="39" customFormat="1" ht="15.75" x14ac:dyDescent="0.2">
      <c r="A5" s="42"/>
    </row>
    <row r="6" spans="1:28" s="39" customFormat="1" ht="18.75" x14ac:dyDescent="0.2">
      <c r="A6" s="228" t="s">
        <v>6</v>
      </c>
      <c r="B6" s="228"/>
      <c r="C6" s="228"/>
      <c r="D6" s="228"/>
      <c r="E6" s="228"/>
      <c r="F6" s="228"/>
      <c r="G6" s="228"/>
      <c r="H6" s="228"/>
      <c r="I6" s="228"/>
      <c r="J6" s="228"/>
      <c r="K6" s="228"/>
      <c r="L6" s="228"/>
      <c r="M6" s="228"/>
      <c r="N6" s="228"/>
      <c r="O6" s="228"/>
      <c r="P6" s="228"/>
      <c r="Q6" s="228"/>
      <c r="R6" s="228"/>
      <c r="S6" s="228"/>
      <c r="T6" s="122"/>
      <c r="U6" s="122"/>
      <c r="V6" s="122"/>
      <c r="W6" s="122"/>
      <c r="X6" s="122"/>
      <c r="Y6" s="122"/>
      <c r="Z6" s="122"/>
      <c r="AA6" s="122"/>
      <c r="AB6" s="122"/>
    </row>
    <row r="7" spans="1:28" s="39" customFormat="1" ht="18.75" x14ac:dyDescent="0.2">
      <c r="A7" s="228"/>
      <c r="B7" s="228"/>
      <c r="C7" s="228"/>
      <c r="D7" s="228"/>
      <c r="E7" s="228"/>
      <c r="F7" s="228"/>
      <c r="G7" s="228"/>
      <c r="H7" s="228"/>
      <c r="I7" s="228"/>
      <c r="J7" s="228"/>
      <c r="K7" s="228"/>
      <c r="L7" s="228"/>
      <c r="M7" s="228"/>
      <c r="N7" s="228"/>
      <c r="O7" s="228"/>
      <c r="P7" s="228"/>
      <c r="Q7" s="228"/>
      <c r="R7" s="228"/>
      <c r="S7" s="228"/>
      <c r="T7" s="122"/>
      <c r="U7" s="122"/>
      <c r="V7" s="122"/>
      <c r="W7" s="122"/>
      <c r="X7" s="122"/>
      <c r="Y7" s="122"/>
      <c r="Z7" s="122"/>
      <c r="AA7" s="122"/>
      <c r="AB7" s="122"/>
    </row>
    <row r="8" spans="1:28" s="39" customFormat="1" ht="18.75" x14ac:dyDescent="0.2">
      <c r="A8" s="219" t="s">
        <v>252</v>
      </c>
      <c r="B8" s="219"/>
      <c r="C8" s="219"/>
      <c r="D8" s="219"/>
      <c r="E8" s="219"/>
      <c r="F8" s="219"/>
      <c r="G8" s="219"/>
      <c r="H8" s="219"/>
      <c r="I8" s="219"/>
      <c r="J8" s="219"/>
      <c r="K8" s="219"/>
      <c r="L8" s="219"/>
      <c r="M8" s="219"/>
      <c r="N8" s="219"/>
      <c r="O8" s="219"/>
      <c r="P8" s="219"/>
      <c r="Q8" s="219"/>
      <c r="R8" s="219"/>
      <c r="S8" s="219"/>
      <c r="T8" s="122"/>
      <c r="U8" s="122"/>
      <c r="V8" s="122"/>
      <c r="W8" s="122"/>
      <c r="X8" s="122"/>
      <c r="Y8" s="122"/>
      <c r="Z8" s="122"/>
      <c r="AA8" s="122"/>
      <c r="AB8" s="122"/>
    </row>
    <row r="9" spans="1:28" s="39" customFormat="1" ht="18.75" x14ac:dyDescent="0.2">
      <c r="A9" s="220" t="s">
        <v>5</v>
      </c>
      <c r="B9" s="220"/>
      <c r="C9" s="220"/>
      <c r="D9" s="220"/>
      <c r="E9" s="220"/>
      <c r="F9" s="220"/>
      <c r="G9" s="220"/>
      <c r="H9" s="220"/>
      <c r="I9" s="220"/>
      <c r="J9" s="220"/>
      <c r="K9" s="220"/>
      <c r="L9" s="220"/>
      <c r="M9" s="220"/>
      <c r="N9" s="220"/>
      <c r="O9" s="220"/>
      <c r="P9" s="220"/>
      <c r="Q9" s="220"/>
      <c r="R9" s="220"/>
      <c r="S9" s="220"/>
      <c r="T9" s="122"/>
      <c r="U9" s="122"/>
      <c r="V9" s="122"/>
      <c r="W9" s="122"/>
      <c r="X9" s="122"/>
      <c r="Y9" s="122"/>
      <c r="Z9" s="122"/>
      <c r="AA9" s="122"/>
      <c r="AB9" s="122"/>
    </row>
    <row r="10" spans="1:28" s="39" customFormat="1" ht="18.75" x14ac:dyDescent="0.2">
      <c r="A10" s="228"/>
      <c r="B10" s="228"/>
      <c r="C10" s="228"/>
      <c r="D10" s="228"/>
      <c r="E10" s="228"/>
      <c r="F10" s="228"/>
      <c r="G10" s="228"/>
      <c r="H10" s="228"/>
      <c r="I10" s="228"/>
      <c r="J10" s="228"/>
      <c r="K10" s="228"/>
      <c r="L10" s="228"/>
      <c r="M10" s="228"/>
      <c r="N10" s="228"/>
      <c r="O10" s="228"/>
      <c r="P10" s="228"/>
      <c r="Q10" s="228"/>
      <c r="R10" s="228"/>
      <c r="S10" s="228"/>
      <c r="T10" s="122"/>
      <c r="U10" s="122"/>
      <c r="V10" s="122"/>
      <c r="W10" s="122"/>
      <c r="X10" s="122"/>
      <c r="Y10" s="122"/>
      <c r="Z10" s="122"/>
      <c r="AA10" s="122"/>
      <c r="AB10" s="122"/>
    </row>
    <row r="11" spans="1:28" s="39" customFormat="1" ht="18.75" x14ac:dyDescent="0.2">
      <c r="A11" s="219" t="str">
        <f>'1. паспорт местоположение'!A12:C12</f>
        <v>I_Che134</v>
      </c>
      <c r="B11" s="219"/>
      <c r="C11" s="219"/>
      <c r="D11" s="219"/>
      <c r="E11" s="219"/>
      <c r="F11" s="219"/>
      <c r="G11" s="219"/>
      <c r="H11" s="219"/>
      <c r="I11" s="219"/>
      <c r="J11" s="219"/>
      <c r="K11" s="219"/>
      <c r="L11" s="219"/>
      <c r="M11" s="219"/>
      <c r="N11" s="219"/>
      <c r="O11" s="219"/>
      <c r="P11" s="219"/>
      <c r="Q11" s="219"/>
      <c r="R11" s="219"/>
      <c r="S11" s="219"/>
      <c r="T11" s="122"/>
      <c r="U11" s="122"/>
      <c r="V11" s="122"/>
      <c r="W11" s="122"/>
      <c r="X11" s="122"/>
      <c r="Y11" s="122"/>
      <c r="Z11" s="122"/>
      <c r="AA11" s="122"/>
      <c r="AB11" s="122"/>
    </row>
    <row r="12" spans="1:28" s="39" customFormat="1" ht="18.75" x14ac:dyDescent="0.2">
      <c r="A12" s="220" t="s">
        <v>4</v>
      </c>
      <c r="B12" s="220"/>
      <c r="C12" s="220"/>
      <c r="D12" s="220"/>
      <c r="E12" s="220"/>
      <c r="F12" s="220"/>
      <c r="G12" s="220"/>
      <c r="H12" s="220"/>
      <c r="I12" s="220"/>
      <c r="J12" s="220"/>
      <c r="K12" s="220"/>
      <c r="L12" s="220"/>
      <c r="M12" s="220"/>
      <c r="N12" s="220"/>
      <c r="O12" s="220"/>
      <c r="P12" s="220"/>
      <c r="Q12" s="220"/>
      <c r="R12" s="220"/>
      <c r="S12" s="220"/>
      <c r="T12" s="122"/>
      <c r="U12" s="122"/>
      <c r="V12" s="122"/>
      <c r="W12" s="122"/>
      <c r="X12" s="122"/>
      <c r="Y12" s="122"/>
      <c r="Z12" s="122"/>
      <c r="AA12" s="122"/>
      <c r="AB12" s="122"/>
    </row>
    <row r="13" spans="1:28" s="12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45"/>
      <c r="U13" s="45"/>
      <c r="V13" s="45"/>
      <c r="W13" s="45"/>
      <c r="X13" s="45"/>
      <c r="Y13" s="45"/>
      <c r="Z13" s="45"/>
      <c r="AA13" s="45"/>
      <c r="AB13" s="45"/>
    </row>
    <row r="14" spans="1:28" s="125" customFormat="1" ht="20.25" x14ac:dyDescent="0.2">
      <c r="A14" s="222"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4" s="222"/>
      <c r="C14" s="222"/>
      <c r="D14" s="222"/>
      <c r="E14" s="222"/>
      <c r="F14" s="222"/>
      <c r="G14" s="222"/>
      <c r="H14" s="222"/>
      <c r="I14" s="222"/>
      <c r="J14" s="222"/>
      <c r="K14" s="222"/>
      <c r="L14" s="222"/>
      <c r="M14" s="222"/>
      <c r="N14" s="222"/>
      <c r="O14" s="222"/>
      <c r="P14" s="222"/>
      <c r="Q14" s="222"/>
      <c r="R14" s="222"/>
      <c r="S14" s="222"/>
      <c r="T14" s="124"/>
      <c r="U14" s="124"/>
      <c r="V14" s="124"/>
      <c r="W14" s="124"/>
      <c r="X14" s="124"/>
      <c r="Y14" s="124"/>
      <c r="Z14" s="124"/>
      <c r="AA14" s="124"/>
      <c r="AB14" s="124"/>
    </row>
    <row r="15" spans="1:28" s="125" customFormat="1" ht="15" customHeight="1" x14ac:dyDescent="0.2">
      <c r="A15" s="220" t="s">
        <v>3</v>
      </c>
      <c r="B15" s="220"/>
      <c r="C15" s="220"/>
      <c r="D15" s="220"/>
      <c r="E15" s="220"/>
      <c r="F15" s="220"/>
      <c r="G15" s="220"/>
      <c r="H15" s="220"/>
      <c r="I15" s="220"/>
      <c r="J15" s="220"/>
      <c r="K15" s="220"/>
      <c r="L15" s="220"/>
      <c r="M15" s="220"/>
      <c r="N15" s="220"/>
      <c r="O15" s="220"/>
      <c r="P15" s="220"/>
      <c r="Q15" s="220"/>
      <c r="R15" s="220"/>
      <c r="S15" s="220"/>
      <c r="T15" s="126"/>
      <c r="U15" s="126"/>
      <c r="V15" s="126"/>
      <c r="W15" s="126"/>
      <c r="X15" s="126"/>
      <c r="Y15" s="126"/>
      <c r="Z15" s="126"/>
      <c r="AA15" s="126"/>
      <c r="AB15" s="126"/>
    </row>
    <row r="16" spans="1:28" s="125"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6"/>
      <c r="U16" s="46"/>
      <c r="V16" s="46"/>
      <c r="W16" s="46"/>
      <c r="X16" s="46"/>
      <c r="Y16" s="46"/>
    </row>
    <row r="17" spans="1:28" s="125" customFormat="1" ht="45.75" customHeight="1" x14ac:dyDescent="0.2">
      <c r="A17" s="224" t="s">
        <v>299</v>
      </c>
      <c r="B17" s="224"/>
      <c r="C17" s="224"/>
      <c r="D17" s="224"/>
      <c r="E17" s="224"/>
      <c r="F17" s="224"/>
      <c r="G17" s="224"/>
      <c r="H17" s="224"/>
      <c r="I17" s="224"/>
      <c r="J17" s="224"/>
      <c r="K17" s="224"/>
      <c r="L17" s="224"/>
      <c r="M17" s="224"/>
      <c r="N17" s="224"/>
      <c r="O17" s="224"/>
      <c r="P17" s="224"/>
      <c r="Q17" s="224"/>
      <c r="R17" s="224"/>
      <c r="S17" s="224"/>
      <c r="T17" s="127"/>
      <c r="U17" s="127"/>
      <c r="V17" s="127"/>
      <c r="W17" s="127"/>
      <c r="X17" s="127"/>
      <c r="Y17" s="127"/>
      <c r="Z17" s="127"/>
      <c r="AA17" s="127"/>
      <c r="AB17" s="127"/>
    </row>
    <row r="18" spans="1:28" s="125"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6"/>
      <c r="U18" s="46"/>
      <c r="V18" s="46"/>
      <c r="W18" s="46"/>
      <c r="X18" s="46"/>
      <c r="Y18" s="46"/>
    </row>
    <row r="19" spans="1:28" s="125" customFormat="1" ht="54" customHeight="1" x14ac:dyDescent="0.2">
      <c r="A19" s="217" t="s">
        <v>2</v>
      </c>
      <c r="B19" s="217" t="s">
        <v>300</v>
      </c>
      <c r="C19" s="226" t="s">
        <v>301</v>
      </c>
      <c r="D19" s="217" t="s">
        <v>302</v>
      </c>
      <c r="E19" s="217" t="s">
        <v>303</v>
      </c>
      <c r="F19" s="217" t="s">
        <v>304</v>
      </c>
      <c r="G19" s="217" t="s">
        <v>305</v>
      </c>
      <c r="H19" s="217" t="s">
        <v>306</v>
      </c>
      <c r="I19" s="217" t="s">
        <v>307</v>
      </c>
      <c r="J19" s="217" t="s">
        <v>308</v>
      </c>
      <c r="K19" s="217" t="s">
        <v>309</v>
      </c>
      <c r="L19" s="217" t="s">
        <v>310</v>
      </c>
      <c r="M19" s="217" t="s">
        <v>311</v>
      </c>
      <c r="N19" s="217" t="s">
        <v>312</v>
      </c>
      <c r="O19" s="217" t="s">
        <v>313</v>
      </c>
      <c r="P19" s="217" t="s">
        <v>314</v>
      </c>
      <c r="Q19" s="217" t="s">
        <v>315</v>
      </c>
      <c r="R19" s="217"/>
      <c r="S19" s="218" t="s">
        <v>316</v>
      </c>
      <c r="T19" s="46"/>
      <c r="U19" s="46"/>
      <c r="V19" s="46"/>
      <c r="W19" s="46"/>
      <c r="X19" s="46"/>
      <c r="Y19" s="46"/>
    </row>
    <row r="20" spans="1:28" s="125" customFormat="1" ht="180.75" customHeight="1" x14ac:dyDescent="0.2">
      <c r="A20" s="217"/>
      <c r="B20" s="217"/>
      <c r="C20" s="227"/>
      <c r="D20" s="217"/>
      <c r="E20" s="217"/>
      <c r="F20" s="217"/>
      <c r="G20" s="217"/>
      <c r="H20" s="217"/>
      <c r="I20" s="217"/>
      <c r="J20" s="217"/>
      <c r="K20" s="217"/>
      <c r="L20" s="217"/>
      <c r="M20" s="217"/>
      <c r="N20" s="217"/>
      <c r="O20" s="217"/>
      <c r="P20" s="217"/>
      <c r="Q20" s="128" t="s">
        <v>317</v>
      </c>
      <c r="R20" s="49" t="s">
        <v>318</v>
      </c>
      <c r="S20" s="218"/>
      <c r="T20" s="45"/>
      <c r="U20" s="45"/>
      <c r="V20" s="45"/>
      <c r="W20" s="45"/>
      <c r="X20" s="45"/>
      <c r="Y20" s="45"/>
      <c r="Z20" s="131"/>
      <c r="AA20" s="131"/>
      <c r="AB20" s="131"/>
    </row>
    <row r="21" spans="1:28" s="125" customFormat="1" ht="18.75" x14ac:dyDescent="0.2">
      <c r="A21" s="128">
        <v>1</v>
      </c>
      <c r="B21" s="177">
        <v>2</v>
      </c>
      <c r="C21" s="128">
        <v>3</v>
      </c>
      <c r="D21" s="177">
        <v>4</v>
      </c>
      <c r="E21" s="128">
        <v>5</v>
      </c>
      <c r="F21" s="177">
        <v>6</v>
      </c>
      <c r="G21" s="128">
        <v>7</v>
      </c>
      <c r="H21" s="177">
        <v>8</v>
      </c>
      <c r="I21" s="128">
        <v>9</v>
      </c>
      <c r="J21" s="177">
        <v>10</v>
      </c>
      <c r="K21" s="128">
        <v>11</v>
      </c>
      <c r="L21" s="177">
        <v>12</v>
      </c>
      <c r="M21" s="128">
        <v>13</v>
      </c>
      <c r="N21" s="177">
        <v>14</v>
      </c>
      <c r="O21" s="128">
        <v>15</v>
      </c>
      <c r="P21" s="177">
        <v>16</v>
      </c>
      <c r="Q21" s="128">
        <v>17</v>
      </c>
      <c r="R21" s="177">
        <v>18</v>
      </c>
      <c r="S21" s="128">
        <v>19</v>
      </c>
      <c r="T21" s="45"/>
      <c r="U21" s="45"/>
      <c r="V21" s="45"/>
      <c r="W21" s="45"/>
      <c r="X21" s="45"/>
      <c r="Y21" s="45"/>
      <c r="Z21" s="131"/>
      <c r="AA21" s="131"/>
      <c r="AB21" s="131"/>
    </row>
    <row r="22" spans="1:28" s="125" customFormat="1" ht="70.5" customHeight="1" x14ac:dyDescent="0.2">
      <c r="A22" s="178">
        <v>1</v>
      </c>
      <c r="B22" s="179" t="s">
        <v>483</v>
      </c>
      <c r="C22" s="179" t="s">
        <v>465</v>
      </c>
      <c r="D22" s="179" t="str">
        <f>IF(B22="нд","нд",IF('3.3 паспорт описание'!C30="Объект введен на основные фонды",'3.3 паспорт описание'!C30,"в работе"))</f>
        <v>в работе</v>
      </c>
      <c r="E22" s="180" t="s">
        <v>456</v>
      </c>
      <c r="F22" s="179" t="s">
        <v>484</v>
      </c>
      <c r="G22" s="179" t="s">
        <v>485</v>
      </c>
      <c r="H22" s="179">
        <v>1.214</v>
      </c>
      <c r="I22" s="181">
        <v>3.39</v>
      </c>
      <c r="J22" s="179">
        <v>4.59</v>
      </c>
      <c r="K22" s="177">
        <v>10</v>
      </c>
      <c r="L22" s="177">
        <v>3</v>
      </c>
      <c r="M22" s="179">
        <v>30</v>
      </c>
      <c r="N22" s="77" t="s">
        <v>319</v>
      </c>
      <c r="O22" s="77" t="s">
        <v>319</v>
      </c>
      <c r="P22" s="77" t="s">
        <v>319</v>
      </c>
      <c r="Q22" s="180" t="s">
        <v>459</v>
      </c>
      <c r="R22" s="77" t="s">
        <v>319</v>
      </c>
      <c r="S22" s="178">
        <v>9.2010759999999997E-2</v>
      </c>
      <c r="T22" s="45"/>
      <c r="U22" s="45"/>
      <c r="V22" s="45"/>
      <c r="W22" s="45"/>
      <c r="X22" s="45"/>
      <c r="Y22" s="45"/>
      <c r="Z22" s="131"/>
      <c r="AA22" s="131"/>
      <c r="AB22" s="131"/>
    </row>
    <row r="23" spans="1:28" ht="18.75" x14ac:dyDescent="0.25">
      <c r="A23" s="4" t="s">
        <v>379</v>
      </c>
      <c r="B23" s="4" t="s">
        <v>379</v>
      </c>
      <c r="C23" s="4"/>
      <c r="D23" s="4"/>
      <c r="E23" s="4" t="s">
        <v>379</v>
      </c>
      <c r="F23" s="4" t="s">
        <v>379</v>
      </c>
      <c r="G23" s="4" t="s">
        <v>379</v>
      </c>
      <c r="H23" s="4" t="s">
        <v>379</v>
      </c>
      <c r="I23" s="4"/>
      <c r="J23" s="4"/>
      <c r="K23" s="4"/>
      <c r="L23" s="4"/>
      <c r="M23" s="4" t="s">
        <v>379</v>
      </c>
      <c r="N23" s="4" t="s">
        <v>379</v>
      </c>
      <c r="O23" s="4" t="s">
        <v>379</v>
      </c>
      <c r="P23" s="4" t="s">
        <v>379</v>
      </c>
      <c r="Q23" s="4" t="s">
        <v>379</v>
      </c>
      <c r="R23" s="182"/>
      <c r="S23" s="182"/>
      <c r="T23" s="135"/>
      <c r="U23" s="135"/>
      <c r="V23" s="135"/>
      <c r="W23" s="135"/>
      <c r="X23" s="135"/>
      <c r="Y23" s="135"/>
      <c r="Z23" s="135"/>
      <c r="AA23" s="135"/>
      <c r="AB23" s="135"/>
    </row>
    <row r="24" spans="1:28" ht="15.75" x14ac:dyDescent="0.25">
      <c r="A24" s="183"/>
      <c r="B24" s="179" t="s">
        <v>464</v>
      </c>
      <c r="C24" s="179"/>
      <c r="D24" s="179"/>
      <c r="E24" s="183" t="s">
        <v>465</v>
      </c>
      <c r="F24" s="183" t="s">
        <v>465</v>
      </c>
      <c r="G24" s="183" t="s">
        <v>465</v>
      </c>
      <c r="H24" s="183"/>
      <c r="I24" s="183"/>
      <c r="J24" s="183"/>
      <c r="K24" s="183"/>
      <c r="L24" s="183"/>
      <c r="M24" s="183"/>
      <c r="N24" s="183"/>
      <c r="O24" s="183"/>
      <c r="P24" s="183"/>
      <c r="Q24" s="184"/>
      <c r="R24" s="185"/>
      <c r="S24" s="185"/>
      <c r="T24" s="135"/>
      <c r="U24" s="135"/>
      <c r="V24" s="135"/>
      <c r="W24" s="135"/>
      <c r="X24" s="135"/>
      <c r="Y24" s="135"/>
      <c r="Z24" s="135"/>
      <c r="AA24" s="135"/>
      <c r="AB24" s="135"/>
    </row>
    <row r="25" spans="1:28"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row>
    <row r="26" spans="1:28"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row>
    <row r="27" spans="1:28"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row>
    <row r="28" spans="1:28"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row>
    <row r="29" spans="1:28"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row>
    <row r="30" spans="1:28"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row>
    <row r="31" spans="1:28"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row>
    <row r="32" spans="1:28"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row>
    <row r="33" spans="1:28"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row>
    <row r="34" spans="1:28"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row>
    <row r="35" spans="1:28"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row>
    <row r="36" spans="1:28"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row>
    <row r="37" spans="1:28"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row>
    <row r="38" spans="1:28"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row>
    <row r="39" spans="1:28"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row>
    <row r="40" spans="1:28"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row>
    <row r="41" spans="1:28"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row>
    <row r="42" spans="1:28"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row>
    <row r="43" spans="1:28"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row>
    <row r="44" spans="1:28"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row>
    <row r="45" spans="1:28"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row>
    <row r="46" spans="1:28"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row>
    <row r="47" spans="1:28"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row>
    <row r="48" spans="1:28"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row>
    <row r="49" spans="1:28"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row>
    <row r="50" spans="1:28"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row>
    <row r="51" spans="1:28"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row>
    <row r="52" spans="1:28"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row>
    <row r="53" spans="1:28"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row>
    <row r="54" spans="1:28"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row>
    <row r="55" spans="1:28"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row>
    <row r="56" spans="1:28"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row>
    <row r="57" spans="1:28"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row>
    <row r="58" spans="1:28"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row>
    <row r="59" spans="1:28"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row>
    <row r="60" spans="1:28"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row>
    <row r="61" spans="1:28"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row>
    <row r="62" spans="1:28"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row>
    <row r="63" spans="1:28"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row>
    <row r="64" spans="1:28"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row>
    <row r="65" spans="1:28"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row>
    <row r="66" spans="1:28"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row>
    <row r="67" spans="1:28"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row>
    <row r="68" spans="1:28"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row>
    <row r="69" spans="1:28"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row>
    <row r="70" spans="1:28"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row>
    <row r="71" spans="1:28"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row>
    <row r="72" spans="1:28"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row>
    <row r="73" spans="1:28"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row>
    <row r="74" spans="1:28"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row>
    <row r="75" spans="1:28"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row>
    <row r="76" spans="1:28"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row>
    <row r="77" spans="1:28"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row>
    <row r="78" spans="1:28"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row>
    <row r="79" spans="1:28"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row>
    <row r="80" spans="1:28"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row>
    <row r="81" spans="1:28"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row>
    <row r="82" spans="1:28"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row>
    <row r="83" spans="1:28"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row>
    <row r="84" spans="1:28"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row>
    <row r="85" spans="1:28"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row>
    <row r="86" spans="1:28"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row>
    <row r="87" spans="1:28"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row>
    <row r="88" spans="1:28"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row>
    <row r="89" spans="1:28"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row>
    <row r="90" spans="1:28"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row>
    <row r="91" spans="1:28"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row>
    <row r="92" spans="1:28"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row>
    <row r="93" spans="1:28"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row>
    <row r="94" spans="1:28"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row>
    <row r="95" spans="1:28"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row>
    <row r="96" spans="1:28"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row>
    <row r="97" spans="1:28"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row>
    <row r="98" spans="1:28"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row>
    <row r="99" spans="1:28"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row>
    <row r="100" spans="1:28"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row>
    <row r="101" spans="1:28"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row>
    <row r="102" spans="1:28"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row>
    <row r="103" spans="1:28"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row>
    <row r="104" spans="1:28"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row>
    <row r="105" spans="1:28"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row>
    <row r="106" spans="1:28"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row>
    <row r="107" spans="1:28"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row>
    <row r="108" spans="1:28"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row>
    <row r="109" spans="1:28"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row>
    <row r="110" spans="1:28"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row>
    <row r="111" spans="1:28"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row>
    <row r="112" spans="1:28"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row>
    <row r="113" spans="1:28"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row>
    <row r="114" spans="1:28"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row>
    <row r="115" spans="1:28"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row>
    <row r="116" spans="1:28"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row>
    <row r="117" spans="1:28"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row>
    <row r="118" spans="1:28"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row>
    <row r="119" spans="1:28"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row>
    <row r="120" spans="1:28"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row>
    <row r="121" spans="1:28"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row>
    <row r="122" spans="1:28"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row>
    <row r="123" spans="1:28"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row>
    <row r="124" spans="1:28"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row>
    <row r="125" spans="1:28"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row>
    <row r="126" spans="1:28"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row>
    <row r="127" spans="1:28"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row>
    <row r="128" spans="1:28"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row>
    <row r="129" spans="1:28"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row>
    <row r="130" spans="1:28"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row>
    <row r="131" spans="1:28"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row>
    <row r="132" spans="1:28"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row>
    <row r="133" spans="1:28"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row>
    <row r="134" spans="1:28"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row>
    <row r="135" spans="1:28"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row>
    <row r="136" spans="1:28"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row>
    <row r="137" spans="1:28"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row>
    <row r="138" spans="1:28"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row>
    <row r="139" spans="1:28"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row>
    <row r="140" spans="1:28"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row>
    <row r="141" spans="1:28"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row>
    <row r="142" spans="1:28"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row>
    <row r="143" spans="1:28"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row>
    <row r="144" spans="1:28"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row>
    <row r="145" spans="1:28"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row>
    <row r="146" spans="1:28"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row>
    <row r="147" spans="1:28"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row>
    <row r="148" spans="1:28"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row>
    <row r="149" spans="1:28"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c r="AA149" s="135"/>
      <c r="AB149" s="135"/>
    </row>
    <row r="150" spans="1:28"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row>
    <row r="151" spans="1:28"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row>
    <row r="152" spans="1:28"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row>
    <row r="153" spans="1:28"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c r="AA153" s="135"/>
      <c r="AB153" s="135"/>
    </row>
    <row r="154" spans="1:28"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c r="AA154" s="135"/>
      <c r="AB154" s="135"/>
    </row>
    <row r="155" spans="1:28"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c r="AA155" s="135"/>
      <c r="AB155" s="135"/>
    </row>
    <row r="156" spans="1:28"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c r="AA156" s="135"/>
      <c r="AB156" s="135"/>
    </row>
    <row r="157" spans="1:28"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c r="AA157" s="135"/>
      <c r="AB157" s="135"/>
    </row>
    <row r="158" spans="1:28"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c r="AA158" s="135"/>
      <c r="AB158" s="135"/>
    </row>
    <row r="159" spans="1:28"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c r="AA159" s="135"/>
      <c r="AB159" s="135"/>
    </row>
    <row r="160" spans="1:28"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c r="AA160" s="135"/>
      <c r="AB160" s="135"/>
    </row>
    <row r="161" spans="1:28"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row>
    <row r="162" spans="1:28"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c r="AA162" s="135"/>
      <c r="AB162" s="135"/>
    </row>
    <row r="163" spans="1:28"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c r="AA163" s="135"/>
      <c r="AB163" s="135"/>
    </row>
    <row r="164" spans="1:28"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c r="AA164" s="135"/>
      <c r="AB164" s="135"/>
    </row>
    <row r="165" spans="1:28"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c r="AA165" s="135"/>
      <c r="AB165" s="135"/>
    </row>
    <row r="166" spans="1:28"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c r="AA166" s="135"/>
      <c r="AB166" s="135"/>
    </row>
    <row r="167" spans="1:28"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c r="AA167" s="135"/>
      <c r="AB167" s="135"/>
    </row>
    <row r="168" spans="1:28"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c r="AA168" s="135"/>
      <c r="AB168" s="135"/>
    </row>
    <row r="169" spans="1:28"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row>
    <row r="170" spans="1:28"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c r="AA170" s="135"/>
      <c r="AB170" s="135"/>
    </row>
    <row r="171" spans="1:28"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c r="AA171" s="135"/>
      <c r="AB171" s="135"/>
    </row>
    <row r="172" spans="1:28"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c r="AA172" s="135"/>
      <c r="AB172" s="135"/>
    </row>
    <row r="173" spans="1:28"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c r="AA173" s="135"/>
      <c r="AB173" s="135"/>
    </row>
    <row r="174" spans="1:28"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c r="AA174" s="135"/>
      <c r="AB174" s="135"/>
    </row>
    <row r="175" spans="1:28"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c r="AA175" s="135"/>
      <c r="AB175" s="135"/>
    </row>
    <row r="176" spans="1:28"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c r="AA176" s="135"/>
      <c r="AB176" s="135"/>
    </row>
    <row r="177" spans="1:28"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c r="AA177" s="135"/>
      <c r="AB177" s="135"/>
    </row>
    <row r="178" spans="1:28"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c r="AA178" s="135"/>
      <c r="AB178" s="135"/>
    </row>
    <row r="179" spans="1:28"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c r="AA179" s="135"/>
      <c r="AB179" s="135"/>
    </row>
    <row r="180" spans="1:28"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row>
    <row r="181" spans="1:28"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c r="AA181" s="135"/>
      <c r="AB181" s="135"/>
    </row>
    <row r="182" spans="1:28"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c r="AA182" s="135"/>
      <c r="AB182" s="135"/>
    </row>
    <row r="183" spans="1:28"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c r="AA183" s="135"/>
      <c r="AB183" s="135"/>
    </row>
    <row r="184" spans="1:28"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c r="AB184" s="135"/>
    </row>
    <row r="185" spans="1:28"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c r="AA185" s="135"/>
      <c r="AB185" s="135"/>
    </row>
    <row r="186" spans="1:28"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c r="AA186" s="135"/>
      <c r="AB186" s="135"/>
    </row>
    <row r="187" spans="1:28"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c r="AA187" s="135"/>
      <c r="AB187" s="135"/>
    </row>
    <row r="188" spans="1:28"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c r="AA188" s="135"/>
      <c r="AB188" s="135"/>
    </row>
    <row r="189" spans="1:28"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c r="AA189" s="135"/>
      <c r="AB189" s="135"/>
    </row>
    <row r="190" spans="1:28"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c r="AA190" s="135"/>
      <c r="AB190" s="135"/>
    </row>
    <row r="191" spans="1:28"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c r="AA191" s="135"/>
      <c r="AB191" s="135"/>
    </row>
    <row r="192" spans="1:28"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c r="AA192" s="135"/>
      <c r="AB192" s="135"/>
    </row>
    <row r="193" spans="1:28"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c r="AA193" s="135"/>
      <c r="AB193" s="135"/>
    </row>
    <row r="194" spans="1:28"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c r="AA194" s="135"/>
      <c r="AB194" s="135"/>
    </row>
    <row r="195" spans="1:28"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c r="AA195" s="135"/>
      <c r="AB195" s="135"/>
    </row>
    <row r="196" spans="1:28"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c r="AA196" s="135"/>
      <c r="AB196" s="135"/>
    </row>
    <row r="197" spans="1:28"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c r="AA197" s="135"/>
      <c r="AB197" s="135"/>
    </row>
    <row r="198" spans="1:28"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c r="AA198" s="135"/>
      <c r="AB198" s="135"/>
    </row>
    <row r="199" spans="1:28"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c r="AA199" s="135"/>
      <c r="AB199" s="135"/>
    </row>
    <row r="200" spans="1:28"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c r="AA200" s="135"/>
      <c r="AB200" s="135"/>
    </row>
    <row r="201" spans="1:28"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c r="AA201" s="135"/>
      <c r="AB201" s="135"/>
    </row>
    <row r="202" spans="1:28"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c r="AA202" s="135"/>
      <c r="AB202" s="135"/>
    </row>
    <row r="203" spans="1:28"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c r="AA203" s="135"/>
      <c r="AB203" s="135"/>
    </row>
    <row r="204" spans="1:28"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c r="AA204" s="135"/>
      <c r="AB204" s="135"/>
    </row>
    <row r="205" spans="1:28"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c r="AA205" s="135"/>
      <c r="AB205" s="135"/>
    </row>
    <row r="206" spans="1:28"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c r="AA206" s="135"/>
      <c r="AB206" s="135"/>
    </row>
    <row r="207" spans="1:28"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c r="AA207" s="135"/>
      <c r="AB207" s="135"/>
    </row>
    <row r="208" spans="1:28"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c r="AA208" s="135"/>
      <c r="AB208" s="135"/>
    </row>
    <row r="209" spans="1:28"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c r="AA209" s="135"/>
      <c r="AB209" s="135"/>
    </row>
    <row r="210" spans="1:28"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c r="AA210" s="135"/>
      <c r="AB210" s="135"/>
    </row>
    <row r="211" spans="1:28"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c r="AA211" s="135"/>
      <c r="AB211" s="135"/>
    </row>
    <row r="212" spans="1:28"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c r="AA212" s="135"/>
      <c r="AB212" s="135"/>
    </row>
    <row r="213" spans="1:28"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c r="AA213" s="135"/>
      <c r="AB213" s="135"/>
    </row>
    <row r="214" spans="1:28"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c r="AA214" s="135"/>
      <c r="AB214" s="135"/>
    </row>
    <row r="215" spans="1:28"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c r="AA215" s="135"/>
      <c r="AB215" s="135"/>
    </row>
    <row r="216" spans="1:28"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c r="AA216" s="135"/>
      <c r="AB216" s="135"/>
    </row>
    <row r="217" spans="1:28"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c r="AA217" s="135"/>
      <c r="AB217" s="135"/>
    </row>
    <row r="218" spans="1:28"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c r="AA218" s="135"/>
      <c r="AB218" s="135"/>
    </row>
    <row r="219" spans="1:28"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c r="AA219" s="135"/>
      <c r="AB219" s="135"/>
    </row>
    <row r="220" spans="1:28"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c r="AA220" s="135"/>
      <c r="AB220" s="135"/>
    </row>
    <row r="221" spans="1:28"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c r="AA221" s="135"/>
      <c r="AB221" s="135"/>
    </row>
    <row r="222" spans="1:28"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c r="AA222" s="135"/>
      <c r="AB222" s="135"/>
    </row>
    <row r="223" spans="1:28"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c r="AA223" s="135"/>
      <c r="AB223" s="135"/>
    </row>
    <row r="224" spans="1:28"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c r="AA224" s="135"/>
      <c r="AB224" s="135"/>
    </row>
    <row r="225" spans="1:28"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c r="AA225" s="135"/>
      <c r="AB225" s="135"/>
    </row>
    <row r="226" spans="1:28"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c r="AA226" s="135"/>
      <c r="AB226" s="135"/>
    </row>
    <row r="227" spans="1:28"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c r="AA227" s="135"/>
      <c r="AB227" s="135"/>
    </row>
    <row r="228" spans="1:28"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c r="AA228" s="135"/>
      <c r="AB228" s="135"/>
    </row>
    <row r="229" spans="1:28"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c r="AA229" s="135"/>
      <c r="AB229" s="135"/>
    </row>
    <row r="230" spans="1:28"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c r="AA230" s="135"/>
      <c r="AB230" s="135"/>
    </row>
    <row r="231" spans="1:28"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c r="AA231" s="135"/>
      <c r="AB231" s="135"/>
    </row>
    <row r="232" spans="1:28"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c r="AA232" s="135"/>
      <c r="AB232" s="135"/>
    </row>
    <row r="233" spans="1:28"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c r="AA233" s="135"/>
      <c r="AB233" s="135"/>
    </row>
    <row r="234" spans="1:28"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c r="AA234" s="135"/>
      <c r="AB234" s="135"/>
    </row>
    <row r="235" spans="1:28"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c r="AA235" s="135"/>
      <c r="AB235" s="135"/>
    </row>
    <row r="236" spans="1:28"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c r="AA236" s="135"/>
      <c r="AB236" s="135"/>
    </row>
    <row r="237" spans="1:28"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c r="AA237" s="135"/>
      <c r="AB237" s="135"/>
    </row>
    <row r="238" spans="1:28"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c r="AA238" s="135"/>
      <c r="AB238" s="135"/>
    </row>
    <row r="239" spans="1:28"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c r="AA239" s="135"/>
      <c r="AB239" s="135"/>
    </row>
    <row r="240" spans="1:28"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c r="AA240" s="135"/>
      <c r="AB240" s="135"/>
    </row>
    <row r="241" spans="1:28"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c r="AA241" s="135"/>
      <c r="AB241" s="135"/>
    </row>
    <row r="242" spans="1:28"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c r="AA242" s="135"/>
      <c r="AB242" s="135"/>
    </row>
    <row r="243" spans="1:28"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c r="AA243" s="135"/>
      <c r="AB243" s="135"/>
    </row>
    <row r="244" spans="1:28"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c r="AA244" s="135"/>
      <c r="AB244" s="135"/>
    </row>
    <row r="245" spans="1:28"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c r="AA245" s="135"/>
      <c r="AB245" s="135"/>
    </row>
    <row r="246" spans="1:28"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c r="AA246" s="135"/>
      <c r="AB246" s="135"/>
    </row>
    <row r="247" spans="1:28"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c r="AA247" s="135"/>
      <c r="AB247" s="135"/>
    </row>
    <row r="248" spans="1:28"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c r="AA248" s="135"/>
      <c r="AB248" s="135"/>
    </row>
    <row r="249" spans="1:28"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c r="AA249" s="135"/>
      <c r="AB249" s="135"/>
    </row>
    <row r="250" spans="1:28"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c r="AA250" s="135"/>
      <c r="AB250" s="135"/>
    </row>
    <row r="251" spans="1:28"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c r="AA251" s="135"/>
      <c r="AB251" s="135"/>
    </row>
    <row r="252" spans="1:28"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c r="AA252" s="135"/>
      <c r="AB252" s="135"/>
    </row>
    <row r="253" spans="1:28"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c r="AA253" s="135"/>
      <c r="AB253" s="135"/>
    </row>
    <row r="254" spans="1:28"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c r="AA254" s="135"/>
      <c r="AB254" s="135"/>
    </row>
    <row r="255" spans="1:28"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c r="AA255" s="135"/>
      <c r="AB255" s="135"/>
    </row>
    <row r="256" spans="1:28"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row>
    <row r="257" spans="1:28"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c r="AA257" s="135"/>
      <c r="AB257" s="135"/>
    </row>
    <row r="258" spans="1:28"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c r="AA258" s="135"/>
      <c r="AB258" s="135"/>
    </row>
    <row r="259" spans="1:28"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c r="AA259" s="135"/>
      <c r="AB259" s="135"/>
    </row>
    <row r="260" spans="1:28"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c r="AA260" s="135"/>
      <c r="AB260" s="135"/>
    </row>
    <row r="261" spans="1:28"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c r="AA261" s="135"/>
      <c r="AB261" s="135"/>
    </row>
    <row r="262" spans="1:28"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c r="AA262" s="135"/>
      <c r="AB262" s="135"/>
    </row>
    <row r="263" spans="1:28"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row>
    <row r="264" spans="1:28"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c r="AA264" s="135"/>
      <c r="AB264" s="135"/>
    </row>
    <row r="265" spans="1:28"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c r="AA265" s="135"/>
      <c r="AB265" s="135"/>
    </row>
    <row r="266" spans="1:28"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c r="AA266" s="135"/>
      <c r="AB266" s="135"/>
    </row>
    <row r="267" spans="1:28"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c r="AA267" s="135"/>
      <c r="AB267" s="135"/>
    </row>
    <row r="268" spans="1:28"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c r="AA268" s="135"/>
      <c r="AB268" s="135"/>
    </row>
    <row r="269" spans="1:28"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c r="AA269" s="135"/>
      <c r="AB269" s="135"/>
    </row>
    <row r="270" spans="1:28"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c r="AA270" s="135"/>
      <c r="AB270" s="135"/>
    </row>
    <row r="271" spans="1:28"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c r="AA271" s="135"/>
      <c r="AB271" s="135"/>
    </row>
    <row r="272" spans="1:28"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c r="AA272" s="135"/>
      <c r="AB272" s="135"/>
    </row>
    <row r="273" spans="1:28"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c r="AA273" s="135"/>
      <c r="AB273" s="135"/>
    </row>
    <row r="274" spans="1:28"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c r="AA274" s="135"/>
      <c r="AB274" s="135"/>
    </row>
    <row r="275" spans="1:28"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c r="AA275" s="135"/>
      <c r="AB275" s="135"/>
    </row>
    <row r="276" spans="1:28"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c r="AA276" s="135"/>
      <c r="AB276" s="135"/>
    </row>
    <row r="277" spans="1:28"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c r="AA277" s="135"/>
      <c r="AB277" s="135"/>
    </row>
    <row r="278" spans="1:28"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c r="AA278" s="135"/>
      <c r="AB278" s="135"/>
    </row>
    <row r="279" spans="1:28"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c r="AA279" s="135"/>
      <c r="AB279" s="135"/>
    </row>
    <row r="280" spans="1:28"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c r="AA280" s="135"/>
      <c r="AB280" s="135"/>
    </row>
    <row r="281" spans="1:28"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c r="AA281" s="135"/>
      <c r="AB281" s="135"/>
    </row>
    <row r="282" spans="1:28"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c r="AA282" s="135"/>
      <c r="AB282" s="135"/>
    </row>
    <row r="283" spans="1:28"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c r="AA283" s="135"/>
      <c r="AB283" s="135"/>
    </row>
    <row r="284" spans="1:28"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c r="AA284" s="135"/>
      <c r="AB284" s="135"/>
    </row>
    <row r="285" spans="1:28"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c r="AA285" s="135"/>
      <c r="AB285" s="135"/>
    </row>
    <row r="286" spans="1:28"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c r="AA286" s="135"/>
      <c r="AB286" s="135"/>
    </row>
    <row r="287" spans="1:28"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c r="AA287" s="135"/>
      <c r="AB287" s="135"/>
    </row>
    <row r="288" spans="1:28"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c r="AA288" s="135"/>
      <c r="AB288" s="135"/>
    </row>
    <row r="289" spans="1:28"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c r="AA289" s="135"/>
      <c r="AB289" s="135"/>
    </row>
    <row r="290" spans="1:28"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c r="AA290" s="135"/>
      <c r="AB290" s="135"/>
    </row>
    <row r="291" spans="1:28"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c r="AA291" s="135"/>
      <c r="AB291" s="135"/>
    </row>
    <row r="292" spans="1:28"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c r="AA292" s="135"/>
      <c r="AB292" s="135"/>
    </row>
    <row r="293" spans="1:28"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c r="AA293" s="135"/>
      <c r="AB293" s="135"/>
    </row>
    <row r="294" spans="1:28"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c r="AA294" s="135"/>
      <c r="AB294" s="135"/>
    </row>
    <row r="295" spans="1:28"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c r="AA295" s="135"/>
      <c r="AB295" s="135"/>
    </row>
    <row r="296" spans="1:28"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c r="AA296" s="135"/>
      <c r="AB296" s="135"/>
    </row>
    <row r="297" spans="1:28"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c r="AA297" s="135"/>
      <c r="AB297" s="135"/>
    </row>
    <row r="298" spans="1:28"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c r="AA298" s="135"/>
      <c r="AB298" s="135"/>
    </row>
    <row r="299" spans="1:28"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c r="AA299" s="135"/>
      <c r="AB299" s="135"/>
    </row>
    <row r="300" spans="1:28"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c r="AA300" s="135"/>
      <c r="AB300" s="135"/>
    </row>
    <row r="301" spans="1:28"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c r="AA301" s="135"/>
      <c r="AB301" s="135"/>
    </row>
    <row r="302" spans="1:28"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c r="AA302" s="135"/>
      <c r="AB302" s="135"/>
    </row>
    <row r="303" spans="1:28"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c r="AA303" s="135"/>
      <c r="AB303" s="135"/>
    </row>
    <row r="304" spans="1:28"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c r="AA304" s="135"/>
      <c r="AB304" s="135"/>
    </row>
    <row r="305" spans="1:28"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c r="AA305" s="135"/>
      <c r="AB305" s="135"/>
    </row>
    <row r="306" spans="1:28"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c r="AA306" s="135"/>
      <c r="AB306" s="135"/>
    </row>
    <row r="307" spans="1:28"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c r="AA307" s="135"/>
      <c r="AB307" s="135"/>
    </row>
    <row r="308" spans="1:28"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c r="AA308" s="135"/>
      <c r="AB308" s="135"/>
    </row>
    <row r="309" spans="1:28"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c r="AA309" s="135"/>
      <c r="AB309" s="135"/>
    </row>
    <row r="310" spans="1:28"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c r="AA310" s="135"/>
      <c r="AB310" s="135"/>
    </row>
    <row r="311" spans="1:28"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c r="AA311" s="135"/>
      <c r="AB311" s="135"/>
    </row>
    <row r="312" spans="1:28"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c r="AA312" s="135"/>
      <c r="AB312" s="135"/>
    </row>
    <row r="313" spans="1:28"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c r="AA313" s="135"/>
      <c r="AB313" s="135"/>
    </row>
    <row r="314" spans="1:28"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c r="AA314" s="135"/>
      <c r="AB314" s="135"/>
    </row>
    <row r="315" spans="1:28"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c r="AA315" s="135"/>
      <c r="AB315" s="135"/>
    </row>
    <row r="316" spans="1:28"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c r="AA316" s="135"/>
      <c r="AB316" s="135"/>
    </row>
    <row r="317" spans="1:28"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c r="AA317" s="135"/>
      <c r="AB317" s="135"/>
    </row>
    <row r="318" spans="1:28"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c r="AA318" s="135"/>
      <c r="AB318" s="135"/>
    </row>
    <row r="319" spans="1:28"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c r="AA319" s="135"/>
      <c r="AB319" s="135"/>
    </row>
    <row r="320" spans="1:28"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c r="AA320" s="135"/>
      <c r="AB320" s="135"/>
    </row>
    <row r="321" spans="1:28"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c r="AA321" s="135"/>
      <c r="AB321" s="135"/>
    </row>
    <row r="322" spans="1:28"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c r="AA322" s="135"/>
      <c r="AB322" s="135"/>
    </row>
    <row r="323" spans="1:28"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c r="AA323" s="135"/>
      <c r="AB323" s="135"/>
    </row>
    <row r="324" spans="1:28"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c r="AA324" s="135"/>
      <c r="AB324" s="135"/>
    </row>
    <row r="325" spans="1:28"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c r="AA325" s="135"/>
      <c r="AB325" s="135"/>
    </row>
    <row r="326" spans="1:28"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c r="AA326" s="135"/>
      <c r="AB326" s="135"/>
    </row>
    <row r="327" spans="1:28"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c r="AA327" s="135"/>
      <c r="AB327" s="135"/>
    </row>
    <row r="328" spans="1:28"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c r="AA328" s="135"/>
      <c r="AB328" s="135"/>
    </row>
    <row r="329" spans="1:28"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c r="AA329" s="135"/>
      <c r="AB329" s="135"/>
    </row>
    <row r="330" spans="1:28"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c r="AA330" s="135"/>
      <c r="AB330" s="135"/>
    </row>
    <row r="331" spans="1:28"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c r="AA331" s="135"/>
      <c r="AB331" s="135"/>
    </row>
    <row r="332" spans="1:28"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c r="AA332" s="135"/>
      <c r="AB332" s="135"/>
    </row>
    <row r="333" spans="1:28"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c r="AA333" s="135"/>
      <c r="AB333" s="135"/>
    </row>
    <row r="334" spans="1:28"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c r="AA334" s="135"/>
      <c r="AB334" s="135"/>
    </row>
    <row r="335" spans="1:28"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c r="AA335" s="135"/>
      <c r="AB335" s="135"/>
    </row>
    <row r="336" spans="1:28"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c r="AA336" s="135"/>
      <c r="AB336" s="135"/>
    </row>
    <row r="337" spans="1:28"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c r="AA337" s="135"/>
      <c r="AB337" s="135"/>
    </row>
    <row r="338" spans="1:28"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c r="AA338" s="135"/>
      <c r="AB338" s="135"/>
    </row>
    <row r="339" spans="1:28"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c r="AA339" s="135"/>
      <c r="AB339" s="135"/>
    </row>
    <row r="340" spans="1:28"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c r="AA340" s="135"/>
      <c r="AB340" s="135"/>
    </row>
    <row r="341" spans="1:28"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c r="AA341" s="135"/>
      <c r="AB341" s="135"/>
    </row>
    <row r="342" spans="1:28"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c r="AA342" s="135"/>
      <c r="AB342" s="135"/>
    </row>
    <row r="343" spans="1:28"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c r="AA343" s="135"/>
      <c r="AB343" s="135"/>
    </row>
    <row r="344" spans="1:28"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c r="AA344" s="135"/>
      <c r="AB344" s="135"/>
    </row>
    <row r="345" spans="1:28"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c r="AA345" s="135"/>
      <c r="AB345" s="135"/>
    </row>
    <row r="346" spans="1:28"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c r="AA346" s="135"/>
      <c r="AB346" s="135"/>
    </row>
    <row r="347" spans="1:28"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c r="AA347" s="135"/>
      <c r="AB347" s="135"/>
    </row>
    <row r="348" spans="1:28"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c r="AA348" s="135"/>
      <c r="AB348" s="135"/>
    </row>
    <row r="349" spans="1:28"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c r="AA349" s="135"/>
      <c r="AB349" s="135"/>
    </row>
    <row r="350" spans="1:28"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c r="AA350" s="135"/>
      <c r="AB350" s="135"/>
    </row>
    <row r="351" spans="1:28"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c r="AA351" s="135"/>
      <c r="AB351" s="135"/>
    </row>
    <row r="352" spans="1:28"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c r="AA352" s="135"/>
      <c r="AB352" s="135"/>
    </row>
    <row r="353" spans="1:28"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c r="AA353" s="135"/>
      <c r="AB353" s="135"/>
    </row>
    <row r="354" spans="1:28"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c r="AA354" s="135"/>
      <c r="AB354" s="135"/>
    </row>
    <row r="355" spans="1:28"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c r="AA355" s="135"/>
      <c r="AB355" s="135"/>
    </row>
    <row r="356" spans="1:28"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c r="AA356" s="135"/>
      <c r="AB356" s="135"/>
    </row>
    <row r="357" spans="1:28"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c r="AA357" s="135"/>
      <c r="AB357" s="135"/>
    </row>
    <row r="358" spans="1:28"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c r="AA358" s="135"/>
      <c r="AB358" s="135"/>
    </row>
  </sheetData>
  <mergeCells count="32">
    <mergeCell ref="A9:S9"/>
    <mergeCell ref="A10:S10"/>
    <mergeCell ref="A4:S4"/>
    <mergeCell ref="A6:S6"/>
    <mergeCell ref="A7:S7"/>
    <mergeCell ref="A8:S8"/>
    <mergeCell ref="A16:S16"/>
    <mergeCell ref="M19:M20"/>
    <mergeCell ref="N19:N20"/>
    <mergeCell ref="A17:S17"/>
    <mergeCell ref="A18:S18"/>
    <mergeCell ref="A19:A20"/>
    <mergeCell ref="B19:B20"/>
    <mergeCell ref="C19:C20"/>
    <mergeCell ref="D19:D20"/>
    <mergeCell ref="E19:E20"/>
    <mergeCell ref="F19:F20"/>
    <mergeCell ref="I19:I20"/>
    <mergeCell ref="J19:J20"/>
    <mergeCell ref="K19:K20"/>
    <mergeCell ref="G19:G20"/>
    <mergeCell ref="H19:H20"/>
    <mergeCell ref="A11:S11"/>
    <mergeCell ref="A12:S12"/>
    <mergeCell ref="A13:S13"/>
    <mergeCell ref="A14:S14"/>
    <mergeCell ref="A15:S15"/>
    <mergeCell ref="L19:L20"/>
    <mergeCell ref="O19:O20"/>
    <mergeCell ref="P19:P20"/>
    <mergeCell ref="Q19:R19"/>
    <mergeCell ref="S19:S20"/>
  </mergeCells>
  <phoneticPr fontId="71"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E1" zoomScale="55" zoomScaleNormal="60" zoomScaleSheetLayoutView="55" workbookViewId="0">
      <selection activeCell="R33" sqref="R33"/>
    </sheetView>
  </sheetViews>
  <sheetFormatPr defaultColWidth="10.7109375" defaultRowHeight="15.75" x14ac:dyDescent="0.25"/>
  <cols>
    <col min="1" max="1" width="9.5703125" style="162" customWidth="1"/>
    <col min="2" max="2" width="34.42578125" style="162" customWidth="1"/>
    <col min="3" max="3" width="45.140625" style="162" customWidth="1"/>
    <col min="4" max="4" width="43" style="162" customWidth="1"/>
    <col min="5" max="5" width="17.5703125" style="162" customWidth="1"/>
    <col min="6" max="6" width="16.85546875" style="162" customWidth="1"/>
    <col min="7" max="8" width="17.5703125" style="162" customWidth="1"/>
    <col min="9" max="10" width="9.85546875" style="162" customWidth="1"/>
    <col min="11" max="11" width="10.28515625" style="162" customWidth="1"/>
    <col min="12" max="15" width="8.7109375" style="162" customWidth="1"/>
    <col min="16" max="16" width="19.42578125" style="162" customWidth="1"/>
    <col min="17" max="17" width="21.7109375" style="162" customWidth="1"/>
    <col min="18" max="18" width="22" style="162" customWidth="1"/>
    <col min="19" max="19" width="19.7109375" style="162" customWidth="1"/>
    <col min="20" max="20" width="18.42578125" style="162" customWidth="1"/>
    <col min="21" max="237" width="10.7109375" style="162"/>
    <col min="238" max="242" width="15.7109375" style="162" customWidth="1"/>
    <col min="243" max="246" width="12.7109375" style="162" customWidth="1"/>
    <col min="247" max="250" width="15.7109375" style="162" customWidth="1"/>
    <col min="251" max="251" width="22.85546875" style="162" customWidth="1"/>
    <col min="252" max="252" width="20.7109375" style="162" customWidth="1"/>
    <col min="253" max="253" width="16.7109375" style="162" customWidth="1"/>
    <col min="254" max="16384" width="10.7109375" style="162"/>
  </cols>
  <sheetData>
    <row r="1" spans="1:20" ht="3" customHeight="1" x14ac:dyDescent="0.25"/>
    <row r="2" spans="1:20" ht="15" customHeight="1" x14ac:dyDescent="0.25">
      <c r="T2" s="40" t="s">
        <v>23</v>
      </c>
    </row>
    <row r="3" spans="1:20" s="2" customFormat="1" ht="18.75" customHeight="1" x14ac:dyDescent="0.3">
      <c r="A3" s="38"/>
      <c r="T3" s="41" t="s">
        <v>7</v>
      </c>
    </row>
    <row r="4" spans="1:20" s="2" customFormat="1" ht="18.75" customHeight="1" x14ac:dyDescent="0.3">
      <c r="A4" s="38"/>
      <c r="T4" s="41" t="s">
        <v>22</v>
      </c>
    </row>
    <row r="5" spans="1:20" s="2" customFormat="1" ht="18.75" customHeight="1" x14ac:dyDescent="0.3">
      <c r="A5" s="38"/>
      <c r="T5" s="41"/>
    </row>
    <row r="6" spans="1:20" s="2" customFormat="1" x14ac:dyDescent="0.2">
      <c r="A6" s="209" t="str">
        <f>'1. паспорт местоположение'!$A$5</f>
        <v>Год раскрытия информации: 2019 год</v>
      </c>
      <c r="B6" s="209"/>
      <c r="C6" s="209"/>
      <c r="D6" s="209"/>
      <c r="E6" s="209"/>
      <c r="F6" s="209"/>
      <c r="G6" s="209"/>
      <c r="H6" s="209"/>
      <c r="I6" s="209"/>
      <c r="J6" s="209"/>
      <c r="K6" s="209"/>
      <c r="L6" s="209"/>
      <c r="M6" s="209"/>
      <c r="N6" s="209"/>
      <c r="O6" s="209"/>
      <c r="P6" s="209"/>
      <c r="Q6" s="209"/>
      <c r="R6" s="209"/>
      <c r="S6" s="209"/>
      <c r="T6" s="209"/>
    </row>
    <row r="7" spans="1:20" s="2" customFormat="1" x14ac:dyDescent="0.2">
      <c r="A7" s="145"/>
    </row>
    <row r="8" spans="1:20" s="2" customFormat="1" ht="18.75" x14ac:dyDescent="0.2">
      <c r="A8" s="213" t="s">
        <v>6</v>
      </c>
      <c r="B8" s="213"/>
      <c r="C8" s="213"/>
      <c r="D8" s="213"/>
      <c r="E8" s="213"/>
      <c r="F8" s="213"/>
      <c r="G8" s="213"/>
      <c r="H8" s="213"/>
      <c r="I8" s="213"/>
      <c r="J8" s="213"/>
      <c r="K8" s="213"/>
      <c r="L8" s="213"/>
      <c r="M8" s="213"/>
      <c r="N8" s="213"/>
      <c r="O8" s="213"/>
      <c r="P8" s="213"/>
      <c r="Q8" s="213"/>
      <c r="R8" s="213"/>
      <c r="S8" s="213"/>
      <c r="T8" s="213"/>
    </row>
    <row r="9" spans="1:20" s="2"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2" customFormat="1" ht="18.75" customHeight="1" x14ac:dyDescent="0.2">
      <c r="A10" s="230" t="s">
        <v>252</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15" t="s">
        <v>5</v>
      </c>
      <c r="B11" s="215"/>
      <c r="C11" s="215"/>
      <c r="D11" s="215"/>
      <c r="E11" s="215"/>
      <c r="F11" s="215"/>
      <c r="G11" s="215"/>
      <c r="H11" s="215"/>
      <c r="I11" s="215"/>
      <c r="J11" s="215"/>
      <c r="K11" s="215"/>
      <c r="L11" s="215"/>
      <c r="M11" s="215"/>
      <c r="N11" s="215"/>
      <c r="O11" s="215"/>
      <c r="P11" s="215"/>
      <c r="Q11" s="215"/>
      <c r="R11" s="215"/>
      <c r="S11" s="215"/>
      <c r="T11" s="215"/>
    </row>
    <row r="12" spans="1:20" s="2"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2" customFormat="1" ht="18.75" customHeight="1" x14ac:dyDescent="0.2">
      <c r="A13" s="230" t="str">
        <f>'1. паспорт местоположение'!A12:C12</f>
        <v>I_Che134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15" t="s">
        <v>4</v>
      </c>
      <c r="B14" s="215"/>
      <c r="C14" s="215"/>
      <c r="D14" s="215"/>
      <c r="E14" s="215"/>
      <c r="F14" s="215"/>
      <c r="G14" s="215"/>
      <c r="H14" s="215"/>
      <c r="I14" s="215"/>
      <c r="J14" s="215"/>
      <c r="K14" s="215"/>
      <c r="L14" s="215"/>
      <c r="M14" s="215"/>
      <c r="N14" s="215"/>
      <c r="O14" s="215"/>
      <c r="P14" s="215"/>
      <c r="Q14" s="215"/>
      <c r="R14" s="215"/>
      <c r="S14" s="215"/>
      <c r="T14" s="215"/>
    </row>
    <row r="15" spans="1:20" s="147"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148" customFormat="1" x14ac:dyDescent="0.2">
      <c r="A16" s="214"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6" s="214"/>
      <c r="C16" s="214"/>
      <c r="D16" s="214"/>
      <c r="E16" s="214"/>
      <c r="F16" s="214"/>
      <c r="G16" s="214"/>
      <c r="H16" s="214"/>
      <c r="I16" s="214"/>
      <c r="J16" s="214"/>
      <c r="K16" s="214"/>
      <c r="L16" s="214"/>
      <c r="M16" s="214"/>
      <c r="N16" s="214"/>
      <c r="O16" s="214"/>
      <c r="P16" s="214"/>
      <c r="Q16" s="214"/>
      <c r="R16" s="214"/>
      <c r="S16" s="214"/>
      <c r="T16" s="214"/>
    </row>
    <row r="17" spans="1:113" s="148" customFormat="1" ht="15" customHeight="1" x14ac:dyDescent="0.2">
      <c r="A17" s="215" t="s">
        <v>3</v>
      </c>
      <c r="B17" s="215"/>
      <c r="C17" s="215"/>
      <c r="D17" s="215"/>
      <c r="E17" s="215"/>
      <c r="F17" s="215"/>
      <c r="G17" s="215"/>
      <c r="H17" s="215"/>
      <c r="I17" s="215"/>
      <c r="J17" s="215"/>
      <c r="K17" s="215"/>
      <c r="L17" s="215"/>
      <c r="M17" s="215"/>
      <c r="N17" s="215"/>
      <c r="O17" s="215"/>
      <c r="P17" s="215"/>
      <c r="Q17" s="215"/>
      <c r="R17" s="215"/>
      <c r="S17" s="215"/>
      <c r="T17" s="215"/>
    </row>
    <row r="18" spans="1:113" s="148"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148" customFormat="1" ht="15" customHeight="1" x14ac:dyDescent="0.2">
      <c r="A19" s="230" t="s">
        <v>267</v>
      </c>
      <c r="B19" s="230"/>
      <c r="C19" s="230"/>
      <c r="D19" s="230"/>
      <c r="E19" s="230"/>
      <c r="F19" s="230"/>
      <c r="G19" s="230"/>
      <c r="H19" s="230"/>
      <c r="I19" s="230"/>
      <c r="J19" s="230"/>
      <c r="K19" s="230"/>
      <c r="L19" s="230"/>
      <c r="M19" s="230"/>
      <c r="N19" s="230"/>
      <c r="O19" s="230"/>
      <c r="P19" s="230"/>
      <c r="Q19" s="230"/>
      <c r="R19" s="230"/>
      <c r="S19" s="230"/>
      <c r="T19" s="230"/>
    </row>
    <row r="20" spans="1:113" s="164"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32" t="s">
        <v>2</v>
      </c>
      <c r="B21" s="235" t="s">
        <v>268</v>
      </c>
      <c r="C21" s="236"/>
      <c r="D21" s="239" t="s">
        <v>269</v>
      </c>
      <c r="E21" s="235" t="s">
        <v>270</v>
      </c>
      <c r="F21" s="236"/>
      <c r="G21" s="235" t="s">
        <v>271</v>
      </c>
      <c r="H21" s="236"/>
      <c r="I21" s="235" t="s">
        <v>272</v>
      </c>
      <c r="J21" s="236"/>
      <c r="K21" s="239" t="s">
        <v>273</v>
      </c>
      <c r="L21" s="235" t="s">
        <v>274</v>
      </c>
      <c r="M21" s="236"/>
      <c r="N21" s="235" t="s">
        <v>275</v>
      </c>
      <c r="O21" s="236"/>
      <c r="P21" s="239" t="s">
        <v>276</v>
      </c>
      <c r="Q21" s="242" t="s">
        <v>36</v>
      </c>
      <c r="R21" s="244"/>
      <c r="S21" s="242" t="s">
        <v>35</v>
      </c>
      <c r="T21" s="243"/>
    </row>
    <row r="22" spans="1:113" ht="204.75" customHeight="1" x14ac:dyDescent="0.25">
      <c r="A22" s="233"/>
      <c r="B22" s="237"/>
      <c r="C22" s="238"/>
      <c r="D22" s="240"/>
      <c r="E22" s="237"/>
      <c r="F22" s="238"/>
      <c r="G22" s="237"/>
      <c r="H22" s="238"/>
      <c r="I22" s="237"/>
      <c r="J22" s="238"/>
      <c r="K22" s="241"/>
      <c r="L22" s="237"/>
      <c r="M22" s="238"/>
      <c r="N22" s="237"/>
      <c r="O22" s="238"/>
      <c r="P22" s="241"/>
      <c r="Q22" s="48" t="s">
        <v>34</v>
      </c>
      <c r="R22" s="48" t="s">
        <v>239</v>
      </c>
      <c r="S22" s="48" t="s">
        <v>33</v>
      </c>
      <c r="T22" s="48" t="s">
        <v>32</v>
      </c>
    </row>
    <row r="23" spans="1:113" ht="45" customHeight="1" x14ac:dyDescent="0.25">
      <c r="A23" s="234"/>
      <c r="B23" s="48" t="s">
        <v>30</v>
      </c>
      <c r="C23" s="48" t="s">
        <v>31</v>
      </c>
      <c r="D23" s="241"/>
      <c r="E23" s="48" t="s">
        <v>30</v>
      </c>
      <c r="F23" s="48" t="s">
        <v>31</v>
      </c>
      <c r="G23" s="48" t="s">
        <v>30</v>
      </c>
      <c r="H23" s="48" t="s">
        <v>31</v>
      </c>
      <c r="I23" s="48" t="s">
        <v>30</v>
      </c>
      <c r="J23" s="48" t="s">
        <v>31</v>
      </c>
      <c r="K23" s="48" t="s">
        <v>30</v>
      </c>
      <c r="L23" s="48" t="s">
        <v>30</v>
      </c>
      <c r="M23" s="48" t="s">
        <v>31</v>
      </c>
      <c r="N23" s="48" t="s">
        <v>30</v>
      </c>
      <c r="O23" s="48" t="s">
        <v>31</v>
      </c>
      <c r="P23" s="84" t="s">
        <v>30</v>
      </c>
      <c r="Q23" s="48" t="s">
        <v>30</v>
      </c>
      <c r="R23" s="48" t="s">
        <v>30</v>
      </c>
      <c r="S23" s="48" t="s">
        <v>30</v>
      </c>
      <c r="T23" s="48" t="s">
        <v>30</v>
      </c>
    </row>
    <row r="24" spans="1:113" ht="24" customHeight="1" x14ac:dyDescent="0.25">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17</v>
      </c>
      <c r="R24" s="169">
        <v>18</v>
      </c>
      <c r="S24" s="169">
        <v>19</v>
      </c>
      <c r="T24" s="169">
        <v>20</v>
      </c>
    </row>
    <row r="25" spans="1:113" s="192" customFormat="1" ht="60.75" customHeight="1" x14ac:dyDescent="0.25">
      <c r="A25" s="171">
        <v>1</v>
      </c>
      <c r="B25" s="170" t="s">
        <v>461</v>
      </c>
      <c r="C25" s="170" t="s">
        <v>461</v>
      </c>
      <c r="D25" s="170" t="s">
        <v>468</v>
      </c>
      <c r="E25" s="170" t="s">
        <v>469</v>
      </c>
      <c r="F25" s="170" t="s">
        <v>470</v>
      </c>
      <c r="G25" s="170" t="s">
        <v>469</v>
      </c>
      <c r="H25" s="170" t="s">
        <v>470</v>
      </c>
      <c r="I25" s="170" t="s">
        <v>320</v>
      </c>
      <c r="J25" s="195">
        <v>2018</v>
      </c>
      <c r="K25" s="170">
        <v>2013</v>
      </c>
      <c r="L25" s="170">
        <v>10</v>
      </c>
      <c r="M25" s="171">
        <v>10</v>
      </c>
      <c r="N25" s="170">
        <v>50</v>
      </c>
      <c r="O25" s="170">
        <v>80</v>
      </c>
      <c r="P25" s="170" t="s">
        <v>320</v>
      </c>
      <c r="Q25" s="170" t="s">
        <v>472</v>
      </c>
      <c r="R25" s="170" t="s">
        <v>472</v>
      </c>
      <c r="S25" s="170" t="s">
        <v>472</v>
      </c>
      <c r="T25" s="170" t="s">
        <v>472</v>
      </c>
    </row>
    <row r="26" spans="1:113" ht="21.75" customHeight="1" x14ac:dyDescent="0.25"/>
    <row r="27" spans="1:113" s="167" customFormat="1" ht="12.75" x14ac:dyDescent="0.2">
      <c r="B27" s="166"/>
      <c r="C27" s="166"/>
      <c r="K27" s="166"/>
    </row>
    <row r="28" spans="1:113" s="167" customFormat="1" x14ac:dyDescent="0.25">
      <c r="B28" s="172" t="s">
        <v>277</v>
      </c>
      <c r="C28" s="172"/>
      <c r="D28" s="172"/>
      <c r="E28" s="172"/>
      <c r="F28" s="172"/>
      <c r="G28" s="172"/>
      <c r="H28" s="172"/>
      <c r="I28" s="172"/>
      <c r="J28" s="172"/>
      <c r="K28" s="172"/>
      <c r="L28" s="172"/>
      <c r="M28" s="172"/>
      <c r="N28" s="172"/>
      <c r="O28" s="172"/>
      <c r="P28" s="172"/>
      <c r="Q28" s="172"/>
      <c r="R28" s="172"/>
    </row>
    <row r="29" spans="1:113" x14ac:dyDescent="0.25">
      <c r="B29" s="229" t="s">
        <v>278</v>
      </c>
      <c r="C29" s="229"/>
      <c r="D29" s="229"/>
      <c r="E29" s="229"/>
      <c r="F29" s="229"/>
      <c r="G29" s="229"/>
      <c r="H29" s="229"/>
      <c r="I29" s="229"/>
      <c r="J29" s="229"/>
      <c r="K29" s="229"/>
      <c r="L29" s="229"/>
      <c r="M29" s="229"/>
      <c r="N29" s="229"/>
      <c r="O29" s="229"/>
      <c r="P29" s="229"/>
      <c r="Q29" s="229"/>
      <c r="R29" s="229"/>
    </row>
    <row r="30" spans="1:113" x14ac:dyDescent="0.25">
      <c r="B30" s="172"/>
      <c r="C30" s="172"/>
      <c r="D30" s="172"/>
      <c r="E30" s="172"/>
      <c r="F30" s="172"/>
      <c r="G30" s="172"/>
      <c r="H30" s="172"/>
      <c r="I30" s="172"/>
      <c r="J30" s="172"/>
      <c r="K30" s="172"/>
      <c r="L30" s="172"/>
      <c r="M30" s="172"/>
      <c r="N30" s="172"/>
      <c r="O30" s="172"/>
      <c r="P30" s="172"/>
      <c r="Q30" s="172"/>
      <c r="R30" s="172"/>
      <c r="S30" s="172"/>
      <c r="T30" s="172"/>
      <c r="U30" s="172"/>
      <c r="V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72"/>
      <c r="BM30" s="172"/>
      <c r="BN30" s="172"/>
      <c r="BO30" s="172"/>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2"/>
      <c r="CP30" s="172"/>
      <c r="CQ30" s="172"/>
      <c r="CR30" s="172"/>
      <c r="CS30" s="172"/>
      <c r="CT30" s="172"/>
      <c r="CU30" s="172"/>
      <c r="CV30" s="172"/>
      <c r="CW30" s="172"/>
      <c r="CX30" s="172"/>
      <c r="CY30" s="172"/>
      <c r="CZ30" s="172"/>
      <c r="DA30" s="172"/>
      <c r="DB30" s="172"/>
      <c r="DC30" s="172"/>
      <c r="DD30" s="172"/>
      <c r="DE30" s="172"/>
      <c r="DF30" s="172"/>
      <c r="DG30" s="172"/>
      <c r="DH30" s="172"/>
      <c r="DI30" s="172"/>
    </row>
    <row r="31" spans="1:113" x14ac:dyDescent="0.25">
      <c r="B31" s="173" t="s">
        <v>279</v>
      </c>
      <c r="C31" s="173"/>
      <c r="D31" s="173"/>
      <c r="E31" s="173"/>
      <c r="F31" s="174"/>
      <c r="G31" s="174"/>
      <c r="H31" s="173"/>
      <c r="I31" s="173"/>
      <c r="J31" s="173"/>
      <c r="K31" s="173"/>
      <c r="L31" s="173"/>
      <c r="M31" s="173"/>
      <c r="N31" s="173"/>
      <c r="O31" s="173"/>
      <c r="P31" s="173"/>
      <c r="Q31" s="173"/>
      <c r="R31" s="173"/>
      <c r="S31" s="175"/>
      <c r="T31" s="175"/>
      <c r="U31" s="175"/>
      <c r="V31" s="175"/>
      <c r="AN31" s="175"/>
      <c r="AO31" s="175"/>
      <c r="AP31" s="175"/>
      <c r="AQ31" s="175"/>
      <c r="AR31" s="175"/>
      <c r="AS31" s="175"/>
      <c r="AT31" s="175"/>
      <c r="AU31" s="175"/>
      <c r="AV31" s="175"/>
      <c r="AW31" s="175"/>
      <c r="AX31" s="175"/>
      <c r="AY31" s="175"/>
      <c r="AZ31" s="175"/>
      <c r="BA31" s="175"/>
      <c r="BB31" s="175"/>
      <c r="BC31" s="175"/>
      <c r="BD31" s="175"/>
      <c r="BE31" s="175"/>
      <c r="BF31" s="175"/>
      <c r="BG31" s="175"/>
      <c r="BH31" s="175"/>
      <c r="BI31" s="175"/>
      <c r="BJ31" s="175"/>
      <c r="BK31" s="175"/>
      <c r="BL31" s="175"/>
      <c r="BM31" s="175"/>
      <c r="BN31" s="175"/>
      <c r="BO31" s="175"/>
      <c r="BP31" s="175"/>
      <c r="BQ31" s="175"/>
      <c r="BR31" s="175"/>
      <c r="BS31" s="175"/>
      <c r="BT31" s="175"/>
      <c r="BU31" s="175"/>
      <c r="BV31" s="175"/>
      <c r="BW31" s="175"/>
      <c r="BX31" s="175"/>
      <c r="BY31" s="175"/>
      <c r="BZ31" s="175"/>
      <c r="CA31" s="175"/>
      <c r="CB31" s="175"/>
      <c r="CC31" s="175"/>
      <c r="CD31" s="175"/>
      <c r="CE31" s="175"/>
      <c r="CF31" s="175"/>
      <c r="CG31" s="175"/>
      <c r="CH31" s="175"/>
      <c r="CI31" s="175"/>
      <c r="CJ31" s="175"/>
      <c r="CK31" s="175"/>
      <c r="CL31" s="175"/>
      <c r="CM31" s="175"/>
      <c r="CN31" s="175"/>
      <c r="CO31" s="175"/>
      <c r="CP31" s="175"/>
      <c r="CQ31" s="175"/>
      <c r="CR31" s="175"/>
      <c r="CS31" s="175"/>
      <c r="CT31" s="175"/>
      <c r="CU31" s="175"/>
      <c r="CV31" s="175"/>
      <c r="CW31" s="175"/>
      <c r="CX31" s="175"/>
      <c r="CY31" s="175"/>
      <c r="CZ31" s="175"/>
      <c r="DA31" s="175"/>
      <c r="DB31" s="175"/>
      <c r="DC31" s="175"/>
      <c r="DD31" s="175"/>
      <c r="DE31" s="175"/>
      <c r="DF31" s="175"/>
      <c r="DG31" s="175"/>
      <c r="DH31" s="175"/>
      <c r="DI31" s="175"/>
    </row>
    <row r="32" spans="1:113" x14ac:dyDescent="0.25">
      <c r="B32" s="173" t="s">
        <v>280</v>
      </c>
      <c r="C32" s="173"/>
      <c r="D32" s="173"/>
      <c r="E32" s="173"/>
      <c r="F32" s="174"/>
      <c r="G32" s="174"/>
      <c r="H32" s="173"/>
      <c r="I32" s="173"/>
      <c r="J32" s="173"/>
      <c r="K32" s="173"/>
      <c r="L32" s="173"/>
      <c r="M32" s="173"/>
      <c r="N32" s="173"/>
      <c r="O32" s="173"/>
      <c r="P32" s="173"/>
      <c r="Q32" s="173"/>
      <c r="R32" s="173"/>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c r="BK32" s="172"/>
      <c r="BL32" s="172"/>
      <c r="BM32" s="172"/>
      <c r="BN32" s="172"/>
      <c r="BO32" s="172"/>
      <c r="BP32" s="172"/>
      <c r="BQ32" s="172"/>
      <c r="BR32" s="172"/>
      <c r="BS32" s="172"/>
      <c r="BT32" s="172"/>
      <c r="BU32" s="172"/>
      <c r="BV32" s="172"/>
      <c r="BW32" s="172"/>
      <c r="BX32" s="172"/>
      <c r="BY32" s="172"/>
      <c r="BZ32" s="172"/>
      <c r="CA32" s="172"/>
      <c r="CB32" s="172"/>
      <c r="CC32" s="172"/>
      <c r="CD32" s="172"/>
      <c r="CE32" s="172"/>
      <c r="CF32" s="172"/>
      <c r="CG32" s="172"/>
      <c r="CH32" s="172"/>
      <c r="CI32" s="172"/>
      <c r="CJ32" s="172"/>
      <c r="CK32" s="172"/>
      <c r="CL32" s="172"/>
      <c r="CM32" s="172"/>
      <c r="CN32" s="172"/>
      <c r="CO32" s="172"/>
      <c r="CP32" s="172"/>
      <c r="CQ32" s="172"/>
      <c r="CR32" s="172"/>
      <c r="CS32" s="172"/>
      <c r="CT32" s="172"/>
      <c r="CU32" s="172"/>
      <c r="CV32" s="172"/>
      <c r="CW32" s="172"/>
      <c r="CX32" s="172"/>
      <c r="CY32" s="172"/>
      <c r="CZ32" s="172"/>
      <c r="DA32" s="172"/>
      <c r="DB32" s="172"/>
      <c r="DC32" s="172"/>
      <c r="DD32" s="172"/>
      <c r="DE32" s="172"/>
      <c r="DF32" s="172"/>
      <c r="DG32" s="172"/>
      <c r="DH32" s="172"/>
      <c r="DI32" s="172"/>
    </row>
    <row r="33" spans="2:113" s="174" customFormat="1" x14ac:dyDescent="0.25">
      <c r="B33" s="173" t="s">
        <v>281</v>
      </c>
      <c r="C33" s="173"/>
      <c r="D33" s="173"/>
      <c r="E33" s="173"/>
      <c r="H33" s="173"/>
      <c r="I33" s="173"/>
      <c r="J33" s="173"/>
      <c r="K33" s="173"/>
      <c r="L33" s="173"/>
      <c r="M33" s="173"/>
      <c r="N33" s="173"/>
      <c r="O33" s="173"/>
      <c r="P33" s="173"/>
      <c r="Q33" s="173"/>
      <c r="R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3"/>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c r="DH33" s="176"/>
      <c r="DI33" s="176"/>
    </row>
    <row r="34" spans="2:113" s="174" customFormat="1" x14ac:dyDescent="0.25">
      <c r="B34" s="173" t="s">
        <v>282</v>
      </c>
      <c r="C34" s="173"/>
      <c r="D34" s="173"/>
      <c r="E34" s="173"/>
      <c r="H34" s="173"/>
      <c r="I34" s="173"/>
      <c r="J34" s="173"/>
      <c r="K34" s="173"/>
      <c r="L34" s="173"/>
      <c r="M34" s="173"/>
      <c r="N34" s="173"/>
      <c r="O34" s="173"/>
      <c r="P34" s="173"/>
      <c r="Q34" s="173"/>
      <c r="R34" s="173"/>
      <c r="S34" s="173"/>
      <c r="T34" s="173"/>
      <c r="U34" s="173"/>
      <c r="V34" s="173"/>
      <c r="AN34" s="173"/>
      <c r="AO34" s="173"/>
      <c r="AP34" s="173"/>
      <c r="AQ34" s="173"/>
      <c r="AR34" s="173"/>
      <c r="AS34" s="173"/>
      <c r="AT34" s="173"/>
      <c r="AU34" s="173"/>
      <c r="AV34" s="173"/>
      <c r="AW34" s="173"/>
      <c r="AX34" s="173"/>
      <c r="AY34" s="173"/>
      <c r="AZ34" s="173"/>
      <c r="BA34" s="173"/>
      <c r="BB34" s="173"/>
      <c r="BC34" s="173"/>
      <c r="BD34" s="173"/>
      <c r="BE34" s="173"/>
      <c r="BF34" s="173"/>
      <c r="BG34" s="173"/>
      <c r="BH34" s="173"/>
      <c r="BI34" s="173"/>
      <c r="BJ34" s="173"/>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c r="DH34" s="176"/>
      <c r="DI34" s="176"/>
    </row>
    <row r="35" spans="2:113" s="174" customFormat="1" x14ac:dyDescent="0.25">
      <c r="B35" s="173" t="s">
        <v>283</v>
      </c>
      <c r="C35" s="173"/>
      <c r="D35" s="173"/>
      <c r="E35" s="173"/>
      <c r="H35" s="173"/>
      <c r="I35" s="173"/>
      <c r="J35" s="173"/>
      <c r="K35" s="173"/>
      <c r="L35" s="173"/>
      <c r="M35" s="173"/>
      <c r="N35" s="173"/>
      <c r="O35" s="173"/>
      <c r="P35" s="173"/>
      <c r="Q35" s="173"/>
      <c r="R35" s="173"/>
      <c r="S35" s="173"/>
      <c r="T35" s="173"/>
      <c r="U35" s="173"/>
      <c r="V35" s="173"/>
      <c r="AN35" s="173"/>
      <c r="AO35" s="173"/>
      <c r="AP35" s="173"/>
      <c r="AQ35" s="173"/>
      <c r="AR35" s="173"/>
      <c r="AS35" s="173"/>
      <c r="AT35" s="173"/>
      <c r="AU35" s="173"/>
      <c r="AV35" s="173"/>
      <c r="AW35" s="173"/>
      <c r="AX35" s="173"/>
      <c r="AY35" s="173"/>
      <c r="AZ35" s="173"/>
      <c r="BA35" s="173"/>
      <c r="BB35" s="173"/>
      <c r="BC35" s="173"/>
      <c r="BD35" s="173"/>
      <c r="BE35" s="173"/>
      <c r="BF35" s="173"/>
      <c r="BG35" s="173"/>
      <c r="BH35" s="173"/>
      <c r="BI35" s="173"/>
      <c r="BJ35" s="173"/>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c r="DH35" s="176"/>
      <c r="DI35" s="176"/>
    </row>
    <row r="36" spans="2:113" s="174" customFormat="1" x14ac:dyDescent="0.25">
      <c r="B36" s="173" t="s">
        <v>284</v>
      </c>
      <c r="C36" s="173"/>
      <c r="D36" s="173"/>
      <c r="E36" s="173"/>
      <c r="H36" s="173"/>
      <c r="I36" s="173"/>
      <c r="J36" s="173"/>
      <c r="K36" s="173"/>
      <c r="L36" s="173"/>
      <c r="M36" s="173"/>
      <c r="N36" s="173"/>
      <c r="O36" s="173"/>
      <c r="P36" s="173"/>
      <c r="Q36" s="173"/>
      <c r="R36" s="173"/>
      <c r="S36" s="173"/>
      <c r="T36" s="173"/>
      <c r="U36" s="173"/>
      <c r="V36" s="173"/>
      <c r="AN36" s="173"/>
      <c r="AO36" s="173"/>
      <c r="AP36" s="173"/>
      <c r="AQ36" s="173"/>
      <c r="AR36" s="173"/>
      <c r="AS36" s="173"/>
      <c r="AT36" s="173"/>
      <c r="AU36" s="173"/>
      <c r="AV36" s="173"/>
      <c r="AW36" s="173"/>
      <c r="AX36" s="173"/>
      <c r="AY36" s="173"/>
      <c r="AZ36" s="173"/>
      <c r="BA36" s="173"/>
      <c r="BB36" s="173"/>
      <c r="BC36" s="173"/>
      <c r="BD36" s="173"/>
      <c r="BE36" s="173"/>
      <c r="BF36" s="173"/>
      <c r="BG36" s="173"/>
      <c r="BH36" s="173"/>
      <c r="BI36" s="173"/>
      <c r="BJ36" s="173"/>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c r="DH36" s="176"/>
      <c r="DI36" s="176"/>
    </row>
    <row r="37" spans="2:113" s="174" customFormat="1" x14ac:dyDescent="0.25">
      <c r="B37" s="173" t="s">
        <v>285</v>
      </c>
      <c r="C37" s="173"/>
      <c r="D37" s="173"/>
      <c r="E37" s="173"/>
      <c r="H37" s="173"/>
      <c r="I37" s="173"/>
      <c r="J37" s="173"/>
      <c r="K37" s="173"/>
      <c r="L37" s="173"/>
      <c r="M37" s="173"/>
      <c r="N37" s="173"/>
      <c r="O37" s="173"/>
      <c r="P37" s="173"/>
      <c r="Q37" s="173"/>
      <c r="R37" s="173"/>
      <c r="S37" s="173"/>
      <c r="T37" s="173"/>
      <c r="U37" s="173"/>
      <c r="V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c r="BI37" s="173"/>
      <c r="BJ37" s="173"/>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c r="DH37" s="176"/>
      <c r="DI37" s="176"/>
    </row>
    <row r="38" spans="2:113" s="174" customFormat="1" x14ac:dyDescent="0.25">
      <c r="B38" s="173" t="s">
        <v>286</v>
      </c>
      <c r="C38" s="173"/>
      <c r="D38" s="173"/>
      <c r="E38" s="173"/>
      <c r="H38" s="173"/>
      <c r="I38" s="173"/>
      <c r="J38" s="173"/>
      <c r="K38" s="173"/>
      <c r="L38" s="173"/>
      <c r="M38" s="173"/>
      <c r="N38" s="173"/>
      <c r="O38" s="173"/>
      <c r="P38" s="173"/>
      <c r="Q38" s="173"/>
      <c r="R38" s="173"/>
      <c r="S38" s="173"/>
      <c r="T38" s="173"/>
      <c r="U38" s="173"/>
      <c r="V38" s="173"/>
      <c r="AN38" s="173"/>
      <c r="AO38" s="173"/>
      <c r="AP38" s="173"/>
      <c r="AQ38" s="173"/>
      <c r="AR38" s="173"/>
      <c r="AS38" s="173"/>
      <c r="AT38" s="173"/>
      <c r="AU38" s="173"/>
      <c r="AV38" s="173"/>
      <c r="AW38" s="173"/>
      <c r="AX38" s="173"/>
      <c r="AY38" s="173"/>
      <c r="AZ38" s="173"/>
      <c r="BA38" s="173"/>
      <c r="BB38" s="173"/>
      <c r="BC38" s="173"/>
      <c r="BD38" s="173"/>
      <c r="BE38" s="173"/>
      <c r="BF38" s="173"/>
      <c r="BG38" s="173"/>
      <c r="BH38" s="173"/>
      <c r="BI38" s="173"/>
      <c r="BJ38" s="173"/>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c r="DH38" s="176"/>
      <c r="DI38" s="176"/>
    </row>
    <row r="39" spans="2:113" s="174" customFormat="1" x14ac:dyDescent="0.25">
      <c r="B39" s="173" t="s">
        <v>287</v>
      </c>
      <c r="C39" s="173"/>
      <c r="D39" s="173"/>
      <c r="E39" s="173"/>
      <c r="H39" s="173"/>
      <c r="I39" s="173"/>
      <c r="J39" s="173"/>
      <c r="K39" s="173"/>
      <c r="L39" s="173"/>
      <c r="M39" s="173"/>
      <c r="N39" s="173"/>
      <c r="O39" s="173"/>
      <c r="P39" s="173"/>
      <c r="Q39" s="173"/>
      <c r="R39" s="173"/>
      <c r="S39" s="173"/>
      <c r="T39" s="173"/>
      <c r="U39" s="173"/>
      <c r="V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3"/>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c r="DH39" s="176"/>
      <c r="DI39" s="176"/>
    </row>
    <row r="40" spans="2:113" s="174" customFormat="1" x14ac:dyDescent="0.25">
      <c r="B40" s="173" t="s">
        <v>288</v>
      </c>
      <c r="C40" s="173"/>
      <c r="D40" s="173"/>
      <c r="E40" s="173"/>
      <c r="H40" s="173"/>
      <c r="I40" s="173"/>
      <c r="J40" s="173"/>
      <c r="K40" s="173"/>
      <c r="L40" s="173"/>
      <c r="M40" s="173"/>
      <c r="N40" s="173"/>
      <c r="O40" s="173"/>
      <c r="P40" s="173"/>
      <c r="Q40" s="173"/>
      <c r="R40" s="173"/>
      <c r="S40" s="173"/>
      <c r="T40" s="173"/>
      <c r="U40" s="173"/>
      <c r="V40" s="173"/>
      <c r="AN40" s="173"/>
      <c r="AO40" s="173"/>
      <c r="AP40" s="173"/>
      <c r="AQ40" s="173"/>
      <c r="AR40" s="173"/>
      <c r="AS40" s="173"/>
      <c r="AT40" s="173"/>
      <c r="AU40" s="173"/>
      <c r="AV40" s="173"/>
      <c r="AW40" s="173"/>
      <c r="AX40" s="173"/>
      <c r="AY40" s="173"/>
      <c r="AZ40" s="173"/>
      <c r="BA40" s="173"/>
      <c r="BB40" s="173"/>
      <c r="BC40" s="173"/>
      <c r="BD40" s="173"/>
      <c r="BE40" s="173"/>
      <c r="BF40" s="173"/>
      <c r="BG40" s="173"/>
      <c r="BH40" s="173"/>
      <c r="BI40" s="173"/>
      <c r="BJ40" s="173"/>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c r="DH40" s="176"/>
      <c r="DI40" s="176"/>
    </row>
    <row r="41" spans="2:113" s="174" customFormat="1" x14ac:dyDescent="0.25">
      <c r="Q41" s="173"/>
      <c r="R41" s="173"/>
      <c r="S41" s="173"/>
      <c r="T41" s="173"/>
      <c r="U41" s="173"/>
      <c r="V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c r="DH41" s="176"/>
      <c r="DI41" s="176"/>
    </row>
    <row r="42" spans="2:113" s="174" customFormat="1" x14ac:dyDescent="0.25">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c r="DH42" s="176"/>
      <c r="DI42" s="176"/>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1"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topLeftCell="A4" zoomScale="70" zoomScaleNormal="70" workbookViewId="0">
      <selection activeCell="A25" sqref="A25:XFD25"/>
    </sheetView>
  </sheetViews>
  <sheetFormatPr defaultColWidth="17.7109375" defaultRowHeight="15.75" x14ac:dyDescent="0.25"/>
  <cols>
    <col min="1" max="2" width="10.7109375" style="162" customWidth="1"/>
    <col min="3" max="3" width="20.28515625" style="162" customWidth="1"/>
    <col min="4" max="4" width="11.5703125" style="162" customWidth="1"/>
    <col min="5" max="5" width="21.85546875" style="162" customWidth="1"/>
    <col min="6" max="6" width="8.7109375" style="162" customWidth="1"/>
    <col min="7" max="7" width="10.28515625" style="162" customWidth="1"/>
    <col min="8" max="8" width="8.7109375" style="162" customWidth="1"/>
    <col min="9" max="9" width="8.28515625" style="162" customWidth="1"/>
    <col min="10" max="10" width="20.140625" style="162" customWidth="1"/>
    <col min="11" max="11" width="11.140625" style="162" customWidth="1"/>
    <col min="12" max="12" width="8.85546875" style="162" customWidth="1"/>
    <col min="13" max="13" width="8.7109375" style="162" customWidth="1"/>
    <col min="14" max="14" width="13.7109375" style="162" customWidth="1"/>
    <col min="15" max="16" width="8.7109375" style="162" customWidth="1"/>
    <col min="17" max="17" width="11.85546875" style="162" customWidth="1"/>
    <col min="18" max="18" width="12" style="162" customWidth="1"/>
    <col min="19" max="19" width="18.28515625" style="162" customWidth="1"/>
    <col min="20" max="20" width="22.42578125" style="162" customWidth="1"/>
    <col min="21" max="21" width="30.7109375" style="162" customWidth="1"/>
    <col min="22" max="23" width="8.7109375" style="162" customWidth="1"/>
    <col min="24" max="24" width="24.5703125" style="162" customWidth="1"/>
    <col min="25" max="25" width="15.28515625" style="162" customWidth="1"/>
    <col min="26" max="26" width="18.5703125" style="162" customWidth="1"/>
    <col min="27" max="27" width="19.140625" style="162" customWidth="1"/>
    <col min="28" max="240" width="10.7109375" style="162" customWidth="1"/>
    <col min="241" max="242" width="15.7109375" style="162" customWidth="1"/>
    <col min="243" max="245" width="14.7109375" style="162" customWidth="1"/>
    <col min="246" max="249" width="13.7109375" style="162" customWidth="1"/>
    <col min="250" max="253" width="15.7109375" style="162" customWidth="1"/>
    <col min="254" max="254" width="22.85546875" style="162" customWidth="1"/>
    <col min="255" max="255" width="20.7109375" style="162" customWidth="1"/>
    <col min="256" max="16384" width="17.7109375" style="162"/>
  </cols>
  <sheetData>
    <row r="1" spans="1:256" ht="18.75" x14ac:dyDescent="0.25">
      <c r="AA1" s="40" t="s">
        <v>23</v>
      </c>
    </row>
    <row r="2" spans="1:256" ht="18.75" x14ac:dyDescent="0.3">
      <c r="A2" s="39"/>
      <c r="B2" s="39"/>
      <c r="C2" s="39"/>
      <c r="D2" s="39"/>
      <c r="E2" s="38"/>
      <c r="F2" s="39"/>
      <c r="G2" s="39"/>
      <c r="H2" s="39"/>
      <c r="I2" s="39"/>
      <c r="J2" s="39"/>
      <c r="K2" s="39"/>
      <c r="L2" s="39"/>
      <c r="M2" s="39"/>
      <c r="N2" s="39"/>
      <c r="O2" s="39"/>
      <c r="P2" s="39"/>
      <c r="Q2" s="39"/>
      <c r="R2" s="39"/>
      <c r="S2" s="39"/>
      <c r="T2" s="39"/>
      <c r="U2" s="39"/>
      <c r="V2" s="39"/>
      <c r="W2" s="39"/>
      <c r="X2" s="39"/>
      <c r="Y2" s="39"/>
      <c r="Z2" s="39"/>
      <c r="AA2" s="41" t="s">
        <v>7</v>
      </c>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c r="IP2" s="39"/>
      <c r="IQ2" s="39"/>
      <c r="IR2" s="39"/>
      <c r="IS2" s="39"/>
      <c r="IT2" s="39"/>
      <c r="IU2" s="39"/>
      <c r="IV2" s="39"/>
    </row>
    <row r="3" spans="1:256" ht="18.75" x14ac:dyDescent="0.3">
      <c r="A3" s="39"/>
      <c r="B3" s="39"/>
      <c r="C3" s="39"/>
      <c r="D3" s="39"/>
      <c r="E3" s="38"/>
      <c r="F3" s="39"/>
      <c r="G3" s="39"/>
      <c r="H3" s="39"/>
      <c r="I3" s="39"/>
      <c r="J3" s="39"/>
      <c r="K3" s="39"/>
      <c r="L3" s="39"/>
      <c r="M3" s="39"/>
      <c r="N3" s="39"/>
      <c r="O3" s="39"/>
      <c r="P3" s="39"/>
      <c r="Q3" s="39"/>
      <c r="R3" s="39"/>
      <c r="S3" s="39"/>
      <c r="T3" s="39"/>
      <c r="U3" s="39"/>
      <c r="V3" s="39"/>
      <c r="W3" s="39"/>
      <c r="X3" s="39"/>
      <c r="Y3" s="39"/>
      <c r="Z3" s="39"/>
      <c r="AA3" s="41" t="s">
        <v>22</v>
      </c>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c r="IP3" s="39"/>
      <c r="IQ3" s="39"/>
      <c r="IR3" s="39"/>
      <c r="IS3" s="39"/>
      <c r="IT3" s="39"/>
      <c r="IU3" s="39"/>
      <c r="IV3" s="39"/>
    </row>
    <row r="4" spans="1:256" ht="15.75" customHeight="1" x14ac:dyDescent="0.25">
      <c r="A4" s="39"/>
      <c r="B4" s="39"/>
      <c r="C4" s="39"/>
      <c r="D4" s="39"/>
      <c r="E4" s="42"/>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row>
    <row r="5" spans="1:256" ht="15.75" customHeight="1" x14ac:dyDescent="0.25">
      <c r="A5" s="209" t="str">
        <f>'1. паспорт местоположение'!$A$5</f>
        <v>Год раскрытия информации: 2019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c r="HP5" s="39"/>
      <c r="HQ5" s="39"/>
      <c r="HR5" s="39"/>
      <c r="HS5" s="39"/>
      <c r="HT5" s="39"/>
      <c r="HU5" s="39"/>
      <c r="HV5" s="39"/>
      <c r="HW5" s="39"/>
      <c r="HX5" s="39"/>
      <c r="HY5" s="39"/>
      <c r="HZ5" s="39"/>
      <c r="IA5" s="39"/>
      <c r="IB5" s="39"/>
      <c r="IC5" s="39"/>
      <c r="ID5" s="39"/>
      <c r="IE5" s="39"/>
      <c r="IF5" s="39"/>
      <c r="IG5" s="39"/>
      <c r="IH5" s="39"/>
      <c r="II5" s="39"/>
      <c r="IJ5" s="39"/>
      <c r="IK5" s="39"/>
      <c r="IL5" s="39"/>
      <c r="IM5" s="39"/>
      <c r="IN5" s="39"/>
      <c r="IO5" s="39"/>
      <c r="IP5" s="39"/>
      <c r="IQ5" s="39"/>
      <c r="IR5" s="39"/>
      <c r="IS5" s="39"/>
      <c r="IT5" s="39"/>
      <c r="IU5" s="39"/>
      <c r="IV5" s="39"/>
    </row>
    <row r="6" spans="1:256" x14ac:dyDescent="0.25">
      <c r="A6" s="83"/>
      <c r="B6" s="83"/>
      <c r="C6" s="83"/>
      <c r="D6" s="83"/>
      <c r="E6" s="83"/>
      <c r="F6" s="83"/>
      <c r="G6" s="83"/>
      <c r="H6" s="83"/>
      <c r="I6" s="83"/>
      <c r="J6" s="83"/>
      <c r="K6" s="83"/>
      <c r="L6" s="83"/>
      <c r="M6" s="83"/>
      <c r="N6" s="83"/>
      <c r="O6" s="83"/>
      <c r="P6" s="83"/>
      <c r="Q6" s="83"/>
      <c r="R6" s="83"/>
      <c r="S6" s="83"/>
      <c r="T6" s="83"/>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row>
    <row r="7" spans="1:256" ht="18.75" x14ac:dyDescent="0.25">
      <c r="A7" s="39"/>
      <c r="B7" s="39"/>
      <c r="C7" s="39"/>
      <c r="D7" s="39"/>
      <c r="E7" s="228" t="s">
        <v>6</v>
      </c>
      <c r="F7" s="228"/>
      <c r="G7" s="228"/>
      <c r="H7" s="228"/>
      <c r="I7" s="228"/>
      <c r="J7" s="228"/>
      <c r="K7" s="228"/>
      <c r="L7" s="228"/>
      <c r="M7" s="228"/>
      <c r="N7" s="228"/>
      <c r="O7" s="228"/>
      <c r="P7" s="228"/>
      <c r="Q7" s="228"/>
      <c r="R7" s="228"/>
      <c r="S7" s="228"/>
      <c r="T7" s="228"/>
      <c r="U7" s="228"/>
      <c r="V7" s="228"/>
      <c r="W7" s="228"/>
      <c r="X7" s="228"/>
      <c r="Y7" s="228"/>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39"/>
      <c r="FE7" s="39"/>
      <c r="FF7" s="39"/>
      <c r="FG7" s="39"/>
      <c r="FH7" s="39"/>
      <c r="FI7" s="39"/>
      <c r="FJ7" s="39"/>
      <c r="FK7" s="39"/>
      <c r="FL7" s="39"/>
      <c r="FM7" s="39"/>
      <c r="FN7" s="39"/>
      <c r="FO7" s="39"/>
      <c r="FP7" s="39"/>
      <c r="FQ7" s="39"/>
      <c r="FR7" s="39"/>
      <c r="FS7" s="39"/>
      <c r="FT7" s="39"/>
      <c r="FU7" s="39"/>
      <c r="FV7" s="39"/>
      <c r="FW7" s="39"/>
      <c r="FX7" s="39"/>
      <c r="FY7" s="39"/>
      <c r="FZ7" s="39"/>
      <c r="GA7" s="39"/>
      <c r="GB7" s="39"/>
      <c r="GC7" s="39"/>
      <c r="GD7" s="39"/>
      <c r="GE7" s="39"/>
      <c r="GF7" s="39"/>
      <c r="GG7" s="39"/>
      <c r="GH7" s="39"/>
      <c r="GI7" s="39"/>
      <c r="GJ7" s="39"/>
      <c r="GK7" s="39"/>
      <c r="GL7" s="39"/>
      <c r="GM7" s="39"/>
      <c r="GN7" s="39"/>
      <c r="GO7" s="39"/>
      <c r="GP7" s="39"/>
      <c r="GQ7" s="39"/>
      <c r="GR7" s="39"/>
      <c r="GS7" s="39"/>
      <c r="GT7" s="39"/>
      <c r="GU7" s="39"/>
      <c r="GV7" s="39"/>
      <c r="GW7" s="39"/>
      <c r="GX7" s="39"/>
      <c r="GY7" s="39"/>
      <c r="GZ7" s="39"/>
      <c r="HA7" s="39"/>
      <c r="HB7" s="39"/>
      <c r="HC7" s="39"/>
      <c r="HD7" s="39"/>
      <c r="HE7" s="39"/>
      <c r="HF7" s="39"/>
      <c r="HG7" s="39"/>
      <c r="HH7" s="39"/>
      <c r="HI7" s="39"/>
      <c r="HJ7" s="39"/>
      <c r="HK7" s="39"/>
      <c r="HL7" s="39"/>
      <c r="HM7" s="39"/>
      <c r="HN7" s="39"/>
      <c r="HO7" s="39"/>
      <c r="HP7" s="39"/>
      <c r="HQ7" s="39"/>
      <c r="HR7" s="39"/>
      <c r="HS7" s="39"/>
      <c r="HT7" s="39"/>
      <c r="HU7" s="39"/>
      <c r="HV7" s="39"/>
      <c r="HW7" s="39"/>
      <c r="HX7" s="39"/>
      <c r="HY7" s="39"/>
      <c r="HZ7" s="39"/>
      <c r="IA7" s="39"/>
      <c r="IB7" s="39"/>
      <c r="IC7" s="39"/>
      <c r="ID7" s="39"/>
      <c r="IE7" s="39"/>
      <c r="IF7" s="39"/>
      <c r="IG7" s="39"/>
      <c r="IH7" s="39"/>
      <c r="II7" s="39"/>
      <c r="IJ7" s="39"/>
      <c r="IK7" s="39"/>
      <c r="IL7" s="39"/>
      <c r="IM7" s="39"/>
      <c r="IN7" s="39"/>
      <c r="IO7" s="39"/>
      <c r="IP7" s="39"/>
      <c r="IQ7" s="39"/>
      <c r="IR7" s="39"/>
      <c r="IS7" s="39"/>
      <c r="IT7" s="39"/>
      <c r="IU7" s="39"/>
      <c r="IV7" s="39"/>
    </row>
    <row r="8" spans="1:256" ht="18.75" x14ac:dyDescent="0.25">
      <c r="A8" s="39"/>
      <c r="B8" s="39"/>
      <c r="C8" s="39"/>
      <c r="D8" s="39"/>
      <c r="E8" s="86"/>
      <c r="F8" s="86"/>
      <c r="G8" s="86"/>
      <c r="H8" s="86"/>
      <c r="I8" s="86"/>
      <c r="J8" s="86"/>
      <c r="K8" s="86"/>
      <c r="L8" s="86"/>
      <c r="M8" s="86"/>
      <c r="N8" s="86"/>
      <c r="O8" s="86"/>
      <c r="P8" s="86"/>
      <c r="Q8" s="86"/>
      <c r="R8" s="86"/>
      <c r="S8" s="122"/>
      <c r="T8" s="122"/>
      <c r="U8" s="122"/>
      <c r="V8" s="122"/>
      <c r="W8" s="122"/>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c r="HM8" s="39"/>
      <c r="HN8" s="39"/>
      <c r="HO8" s="39"/>
      <c r="HP8" s="39"/>
      <c r="HQ8" s="39"/>
      <c r="HR8" s="39"/>
      <c r="HS8" s="39"/>
      <c r="HT8" s="39"/>
      <c r="HU8" s="39"/>
      <c r="HV8" s="39"/>
      <c r="HW8" s="39"/>
      <c r="HX8" s="39"/>
      <c r="HY8" s="39"/>
      <c r="HZ8" s="39"/>
      <c r="IA8" s="39"/>
      <c r="IB8" s="39"/>
      <c r="IC8" s="39"/>
      <c r="ID8" s="39"/>
      <c r="IE8" s="39"/>
      <c r="IF8" s="39"/>
      <c r="IG8" s="39"/>
      <c r="IH8" s="39"/>
      <c r="II8" s="39"/>
      <c r="IJ8" s="39"/>
      <c r="IK8" s="39"/>
      <c r="IL8" s="39"/>
      <c r="IM8" s="39"/>
      <c r="IN8" s="39"/>
      <c r="IO8" s="39"/>
      <c r="IP8" s="39"/>
      <c r="IQ8" s="39"/>
      <c r="IR8" s="39"/>
      <c r="IS8" s="39"/>
      <c r="IT8" s="39"/>
      <c r="IU8" s="39"/>
      <c r="IV8" s="39"/>
    </row>
    <row r="9" spans="1:256" ht="18.75" x14ac:dyDescent="0.25">
      <c r="A9" s="39"/>
      <c r="B9" s="39"/>
      <c r="C9" s="39"/>
      <c r="D9" s="39"/>
      <c r="E9" s="219" t="s">
        <v>252</v>
      </c>
      <c r="F9" s="219"/>
      <c r="G9" s="219"/>
      <c r="H9" s="219"/>
      <c r="I9" s="219"/>
      <c r="J9" s="219"/>
      <c r="K9" s="219"/>
      <c r="L9" s="219"/>
      <c r="M9" s="219"/>
      <c r="N9" s="219"/>
      <c r="O9" s="219"/>
      <c r="P9" s="219"/>
      <c r="Q9" s="219"/>
      <c r="R9" s="219"/>
      <c r="S9" s="219"/>
      <c r="T9" s="219"/>
      <c r="U9" s="219"/>
      <c r="V9" s="219"/>
      <c r="W9" s="219"/>
      <c r="X9" s="219"/>
      <c r="Y9" s="21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c r="HM9" s="39"/>
      <c r="HN9" s="39"/>
      <c r="HO9" s="39"/>
      <c r="HP9" s="39"/>
      <c r="HQ9" s="39"/>
      <c r="HR9" s="39"/>
      <c r="HS9" s="39"/>
      <c r="HT9" s="39"/>
      <c r="HU9" s="39"/>
      <c r="HV9" s="39"/>
      <c r="HW9" s="39"/>
      <c r="HX9" s="39"/>
      <c r="HY9" s="39"/>
      <c r="HZ9" s="39"/>
      <c r="IA9" s="39"/>
      <c r="IB9" s="39"/>
      <c r="IC9" s="39"/>
      <c r="ID9" s="39"/>
      <c r="IE9" s="39"/>
      <c r="IF9" s="39"/>
      <c r="IG9" s="39"/>
      <c r="IH9" s="39"/>
      <c r="II9" s="39"/>
      <c r="IJ9" s="39"/>
      <c r="IK9" s="39"/>
      <c r="IL9" s="39"/>
      <c r="IM9" s="39"/>
      <c r="IN9" s="39"/>
      <c r="IO9" s="39"/>
      <c r="IP9" s="39"/>
      <c r="IQ9" s="39"/>
      <c r="IR9" s="39"/>
      <c r="IS9" s="39"/>
      <c r="IT9" s="39"/>
      <c r="IU9" s="39"/>
      <c r="IV9" s="39"/>
    </row>
    <row r="10" spans="1:256" x14ac:dyDescent="0.25">
      <c r="A10" s="39"/>
      <c r="B10" s="39"/>
      <c r="C10" s="39"/>
      <c r="D10" s="39"/>
      <c r="E10" s="220" t="s">
        <v>5</v>
      </c>
      <c r="F10" s="220"/>
      <c r="G10" s="220"/>
      <c r="H10" s="220"/>
      <c r="I10" s="220"/>
      <c r="J10" s="220"/>
      <c r="K10" s="220"/>
      <c r="L10" s="220"/>
      <c r="M10" s="220"/>
      <c r="N10" s="220"/>
      <c r="O10" s="220"/>
      <c r="P10" s="220"/>
      <c r="Q10" s="220"/>
      <c r="R10" s="220"/>
      <c r="S10" s="220"/>
      <c r="T10" s="220"/>
      <c r="U10" s="220"/>
      <c r="V10" s="220"/>
      <c r="W10" s="220"/>
      <c r="X10" s="220"/>
      <c r="Y10" s="220"/>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39"/>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c r="EE10" s="39"/>
      <c r="EF10" s="39"/>
      <c r="EG10" s="39"/>
      <c r="EH10" s="39"/>
      <c r="EI10" s="39"/>
      <c r="EJ10" s="39"/>
      <c r="EK10" s="39"/>
      <c r="EL10" s="39"/>
      <c r="EM10" s="39"/>
      <c r="EN10" s="39"/>
      <c r="EO10" s="39"/>
      <c r="EP10" s="39"/>
      <c r="EQ10" s="39"/>
      <c r="ER10" s="39"/>
      <c r="ES10" s="39"/>
      <c r="ET10" s="39"/>
      <c r="EU10" s="39"/>
      <c r="EV10" s="39"/>
      <c r="EW10" s="39"/>
      <c r="EX10" s="39"/>
      <c r="EY10" s="39"/>
      <c r="EZ10" s="39"/>
      <c r="FA10" s="39"/>
      <c r="FB10" s="39"/>
      <c r="FC10" s="39"/>
      <c r="FD10" s="39"/>
      <c r="FE10" s="39"/>
      <c r="FF10" s="39"/>
      <c r="FG10" s="39"/>
      <c r="FH10" s="39"/>
      <c r="FI10" s="39"/>
      <c r="FJ10" s="39"/>
      <c r="FK10" s="39"/>
      <c r="FL10" s="39"/>
      <c r="FM10" s="39"/>
      <c r="FN10" s="39"/>
      <c r="FO10" s="39"/>
      <c r="FP10" s="39"/>
      <c r="FQ10" s="39"/>
      <c r="FR10" s="39"/>
      <c r="FS10" s="39"/>
      <c r="FT10" s="39"/>
      <c r="FU10" s="39"/>
      <c r="FV10" s="39"/>
      <c r="FW10" s="39"/>
      <c r="FX10" s="39"/>
      <c r="FY10" s="39"/>
      <c r="FZ10" s="39"/>
      <c r="GA10" s="39"/>
      <c r="GB10" s="39"/>
      <c r="GC10" s="39"/>
      <c r="GD10" s="39"/>
      <c r="GE10" s="39"/>
      <c r="GF10" s="39"/>
      <c r="GG10" s="39"/>
      <c r="GH10" s="39"/>
      <c r="GI10" s="39"/>
      <c r="GJ10" s="39"/>
      <c r="GK10" s="39"/>
      <c r="GL10" s="39"/>
      <c r="GM10" s="39"/>
      <c r="GN10" s="39"/>
      <c r="GO10" s="39"/>
      <c r="GP10" s="39"/>
      <c r="GQ10" s="39"/>
      <c r="GR10" s="39"/>
      <c r="GS10" s="39"/>
      <c r="GT10" s="39"/>
      <c r="GU10" s="39"/>
      <c r="GV10" s="39"/>
      <c r="GW10" s="39"/>
      <c r="GX10" s="39"/>
      <c r="GY10" s="39"/>
      <c r="GZ10" s="39"/>
      <c r="HA10" s="39"/>
      <c r="HB10" s="39"/>
      <c r="HC10" s="39"/>
      <c r="HD10" s="39"/>
      <c r="HE10" s="39"/>
      <c r="HF10" s="39"/>
      <c r="HG10" s="39"/>
      <c r="HH10" s="39"/>
      <c r="HI10" s="39"/>
      <c r="HJ10" s="39"/>
      <c r="HK10" s="39"/>
      <c r="HL10" s="39"/>
      <c r="HM10" s="39"/>
      <c r="HN10" s="39"/>
      <c r="HO10" s="39"/>
      <c r="HP10" s="39"/>
      <c r="HQ10" s="39"/>
      <c r="HR10" s="39"/>
      <c r="HS10" s="39"/>
      <c r="HT10" s="39"/>
      <c r="HU10" s="39"/>
      <c r="HV10" s="39"/>
      <c r="HW10" s="39"/>
      <c r="HX10" s="39"/>
      <c r="HY10" s="39"/>
      <c r="HZ10" s="39"/>
      <c r="IA10" s="39"/>
      <c r="IB10" s="39"/>
      <c r="IC10" s="39"/>
      <c r="ID10" s="39"/>
      <c r="IE10" s="39"/>
      <c r="IF10" s="39"/>
      <c r="IG10" s="39"/>
      <c r="IH10" s="39"/>
      <c r="II10" s="39"/>
      <c r="IJ10" s="39"/>
      <c r="IK10" s="39"/>
      <c r="IL10" s="39"/>
      <c r="IM10" s="39"/>
      <c r="IN10" s="39"/>
      <c r="IO10" s="39"/>
      <c r="IP10" s="39"/>
      <c r="IQ10" s="39"/>
      <c r="IR10" s="39"/>
      <c r="IS10" s="39"/>
      <c r="IT10" s="39"/>
      <c r="IU10" s="39"/>
      <c r="IV10" s="39"/>
    </row>
    <row r="11" spans="1:256" ht="18.75" x14ac:dyDescent="0.25">
      <c r="A11" s="39"/>
      <c r="B11" s="39"/>
      <c r="C11" s="39"/>
      <c r="D11" s="39"/>
      <c r="E11" s="86"/>
      <c r="F11" s="86"/>
      <c r="G11" s="86"/>
      <c r="H11" s="86"/>
      <c r="I11" s="86"/>
      <c r="J11" s="86"/>
      <c r="K11" s="86"/>
      <c r="L11" s="86"/>
      <c r="M11" s="86"/>
      <c r="N11" s="86"/>
      <c r="O11" s="86"/>
      <c r="P11" s="86"/>
      <c r="Q11" s="86"/>
      <c r="R11" s="86"/>
      <c r="S11" s="122"/>
      <c r="T11" s="122"/>
      <c r="U11" s="122"/>
      <c r="V11" s="122"/>
      <c r="W11" s="122"/>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39"/>
      <c r="FE11" s="39"/>
      <c r="FF11" s="39"/>
      <c r="FG11" s="39"/>
      <c r="FH11" s="39"/>
      <c r="FI11" s="39"/>
      <c r="FJ11" s="39"/>
      <c r="FK11" s="39"/>
      <c r="FL11" s="39"/>
      <c r="FM11" s="39"/>
      <c r="FN11" s="39"/>
      <c r="FO11" s="39"/>
      <c r="FP11" s="39"/>
      <c r="FQ11" s="39"/>
      <c r="FR11" s="39"/>
      <c r="FS11" s="39"/>
      <c r="FT11" s="39"/>
      <c r="FU11" s="39"/>
      <c r="FV11" s="39"/>
      <c r="FW11" s="39"/>
      <c r="FX11" s="39"/>
      <c r="FY11" s="39"/>
      <c r="FZ11" s="39"/>
      <c r="GA11" s="39"/>
      <c r="GB11" s="39"/>
      <c r="GC11" s="39"/>
      <c r="GD11" s="39"/>
      <c r="GE11" s="39"/>
      <c r="GF11" s="39"/>
      <c r="GG11" s="39"/>
      <c r="GH11" s="39"/>
      <c r="GI11" s="39"/>
      <c r="GJ11" s="39"/>
      <c r="GK11" s="39"/>
      <c r="GL11" s="39"/>
      <c r="GM11" s="39"/>
      <c r="GN11" s="39"/>
      <c r="GO11" s="39"/>
      <c r="GP11" s="39"/>
      <c r="GQ11" s="39"/>
      <c r="GR11" s="39"/>
      <c r="GS11" s="39"/>
      <c r="GT11" s="39"/>
      <c r="GU11" s="39"/>
      <c r="GV11" s="39"/>
      <c r="GW11" s="39"/>
      <c r="GX11" s="39"/>
      <c r="GY11" s="39"/>
      <c r="GZ11" s="39"/>
      <c r="HA11" s="39"/>
      <c r="HB11" s="39"/>
      <c r="HC11" s="39"/>
      <c r="HD11" s="39"/>
      <c r="HE11" s="39"/>
      <c r="HF11" s="39"/>
      <c r="HG11" s="39"/>
      <c r="HH11" s="39"/>
      <c r="HI11" s="39"/>
      <c r="HJ11" s="39"/>
      <c r="HK11" s="39"/>
      <c r="HL11" s="39"/>
      <c r="HM11" s="39"/>
      <c r="HN11" s="39"/>
      <c r="HO11" s="39"/>
      <c r="HP11" s="39"/>
      <c r="HQ11" s="39"/>
      <c r="HR11" s="39"/>
      <c r="HS11" s="39"/>
      <c r="HT11" s="39"/>
      <c r="HU11" s="39"/>
      <c r="HV11" s="39"/>
      <c r="HW11" s="39"/>
      <c r="HX11" s="39"/>
      <c r="HY11" s="39"/>
      <c r="HZ11" s="39"/>
      <c r="IA11" s="39"/>
      <c r="IB11" s="39"/>
      <c r="IC11" s="39"/>
      <c r="ID11" s="39"/>
      <c r="IE11" s="39"/>
      <c r="IF11" s="39"/>
      <c r="IG11" s="39"/>
      <c r="IH11" s="39"/>
      <c r="II11" s="39"/>
      <c r="IJ11" s="39"/>
      <c r="IK11" s="39"/>
      <c r="IL11" s="39"/>
      <c r="IM11" s="39"/>
      <c r="IN11" s="39"/>
      <c r="IO11" s="39"/>
      <c r="IP11" s="39"/>
      <c r="IQ11" s="39"/>
      <c r="IR11" s="39"/>
      <c r="IS11" s="39"/>
      <c r="IT11" s="39"/>
      <c r="IU11" s="39"/>
      <c r="IV11" s="39"/>
    </row>
    <row r="12" spans="1:256" ht="18.75" x14ac:dyDescent="0.25">
      <c r="A12" s="39"/>
      <c r="B12" s="39"/>
      <c r="C12" s="39"/>
      <c r="D12" s="39"/>
      <c r="E12" s="230" t="s">
        <v>460</v>
      </c>
      <c r="F12" s="219"/>
      <c r="G12" s="219"/>
      <c r="H12" s="219"/>
      <c r="I12" s="219"/>
      <c r="J12" s="219"/>
      <c r="K12" s="219"/>
      <c r="L12" s="219"/>
      <c r="M12" s="219"/>
      <c r="N12" s="219"/>
      <c r="O12" s="219"/>
      <c r="P12" s="219"/>
      <c r="Q12" s="219"/>
      <c r="R12" s="219"/>
      <c r="S12" s="219"/>
      <c r="T12" s="219"/>
      <c r="U12" s="219"/>
      <c r="V12" s="219"/>
      <c r="W12" s="219"/>
      <c r="X12" s="219"/>
      <c r="Y12" s="21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c r="EC12" s="39"/>
      <c r="ED12" s="39"/>
      <c r="EE12" s="39"/>
      <c r="EF12" s="39"/>
      <c r="EG12" s="39"/>
      <c r="EH12" s="39"/>
      <c r="EI12" s="39"/>
      <c r="EJ12" s="39"/>
      <c r="EK12" s="39"/>
      <c r="EL12" s="39"/>
      <c r="EM12" s="39"/>
      <c r="EN12" s="39"/>
      <c r="EO12" s="39"/>
      <c r="EP12" s="39"/>
      <c r="EQ12" s="39"/>
      <c r="ER12" s="39"/>
      <c r="ES12" s="39"/>
      <c r="ET12" s="39"/>
      <c r="EU12" s="39"/>
      <c r="EV12" s="39"/>
      <c r="EW12" s="39"/>
      <c r="EX12" s="39"/>
      <c r="EY12" s="39"/>
      <c r="EZ12" s="39"/>
      <c r="FA12" s="39"/>
      <c r="FB12" s="39"/>
      <c r="FC12" s="39"/>
      <c r="FD12" s="39"/>
      <c r="FE12" s="39"/>
      <c r="FF12" s="39"/>
      <c r="FG12" s="39"/>
      <c r="FH12" s="39"/>
      <c r="FI12" s="39"/>
      <c r="FJ12" s="39"/>
      <c r="FK12" s="39"/>
      <c r="FL12" s="39"/>
      <c r="FM12" s="39"/>
      <c r="FN12" s="39"/>
      <c r="FO12" s="39"/>
      <c r="FP12" s="39"/>
      <c r="FQ12" s="39"/>
      <c r="FR12" s="39"/>
      <c r="FS12" s="39"/>
      <c r="FT12" s="39"/>
      <c r="FU12" s="39"/>
      <c r="FV12" s="39"/>
      <c r="FW12" s="39"/>
      <c r="FX12" s="39"/>
      <c r="FY12" s="39"/>
      <c r="FZ12" s="39"/>
      <c r="GA12" s="39"/>
      <c r="GB12" s="39"/>
      <c r="GC12" s="39"/>
      <c r="GD12" s="39"/>
      <c r="GE12" s="39"/>
      <c r="GF12" s="39"/>
      <c r="GG12" s="39"/>
      <c r="GH12" s="39"/>
      <c r="GI12" s="39"/>
      <c r="GJ12" s="39"/>
      <c r="GK12" s="39"/>
      <c r="GL12" s="39"/>
      <c r="GM12" s="39"/>
      <c r="GN12" s="39"/>
      <c r="GO12" s="39"/>
      <c r="GP12" s="39"/>
      <c r="GQ12" s="39"/>
      <c r="GR12" s="39"/>
      <c r="GS12" s="39"/>
      <c r="GT12" s="39"/>
      <c r="GU12" s="39"/>
      <c r="GV12" s="39"/>
      <c r="GW12" s="39"/>
      <c r="GX12" s="39"/>
      <c r="GY12" s="39"/>
      <c r="GZ12" s="39"/>
      <c r="HA12" s="39"/>
      <c r="HB12" s="39"/>
      <c r="HC12" s="39"/>
      <c r="HD12" s="39"/>
      <c r="HE12" s="39"/>
      <c r="HF12" s="39"/>
      <c r="HG12" s="39"/>
      <c r="HH12" s="39"/>
      <c r="HI12" s="39"/>
      <c r="HJ12" s="39"/>
      <c r="HK12" s="39"/>
      <c r="HL12" s="39"/>
      <c r="HM12" s="39"/>
      <c r="HN12" s="39"/>
      <c r="HO12" s="39"/>
      <c r="HP12" s="39"/>
      <c r="HQ12" s="39"/>
      <c r="HR12" s="39"/>
      <c r="HS12" s="39"/>
      <c r="HT12" s="39"/>
      <c r="HU12" s="39"/>
      <c r="HV12" s="39"/>
      <c r="HW12" s="39"/>
      <c r="HX12" s="39"/>
      <c r="HY12" s="39"/>
      <c r="HZ12" s="39"/>
      <c r="IA12" s="39"/>
      <c r="IB12" s="39"/>
      <c r="IC12" s="39"/>
      <c r="ID12" s="39"/>
      <c r="IE12" s="39"/>
      <c r="IF12" s="39"/>
      <c r="IG12" s="39"/>
      <c r="IH12" s="39"/>
      <c r="II12" s="39"/>
      <c r="IJ12" s="39"/>
      <c r="IK12" s="39"/>
      <c r="IL12" s="39"/>
      <c r="IM12" s="39"/>
      <c r="IN12" s="39"/>
      <c r="IO12" s="39"/>
      <c r="IP12" s="39"/>
      <c r="IQ12" s="39"/>
      <c r="IR12" s="39"/>
      <c r="IS12" s="39"/>
      <c r="IT12" s="39"/>
      <c r="IU12" s="39"/>
      <c r="IV12" s="39"/>
    </row>
    <row r="13" spans="1:256" x14ac:dyDescent="0.25">
      <c r="A13" s="39"/>
      <c r="B13" s="39"/>
      <c r="C13" s="39"/>
      <c r="D13" s="39"/>
      <c r="E13" s="220" t="s">
        <v>4</v>
      </c>
      <c r="F13" s="220"/>
      <c r="G13" s="220"/>
      <c r="H13" s="220"/>
      <c r="I13" s="220"/>
      <c r="J13" s="220"/>
      <c r="K13" s="220"/>
      <c r="L13" s="220"/>
      <c r="M13" s="220"/>
      <c r="N13" s="220"/>
      <c r="O13" s="220"/>
      <c r="P13" s="220"/>
      <c r="Q13" s="220"/>
      <c r="R13" s="220"/>
      <c r="S13" s="220"/>
      <c r="T13" s="220"/>
      <c r="U13" s="220"/>
      <c r="V13" s="220"/>
      <c r="W13" s="220"/>
      <c r="X13" s="220"/>
      <c r="Y13" s="220"/>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c r="EI13" s="39"/>
      <c r="EJ13" s="39"/>
      <c r="EK13" s="39"/>
      <c r="EL13" s="39"/>
      <c r="EM13" s="39"/>
      <c r="EN13" s="39"/>
      <c r="EO13" s="39"/>
      <c r="EP13" s="39"/>
      <c r="EQ13" s="39"/>
      <c r="ER13" s="39"/>
      <c r="ES13" s="39"/>
      <c r="ET13" s="39"/>
      <c r="EU13" s="39"/>
      <c r="EV13" s="39"/>
      <c r="EW13" s="39"/>
      <c r="EX13" s="39"/>
      <c r="EY13" s="39"/>
      <c r="EZ13" s="39"/>
      <c r="FA13" s="39"/>
      <c r="FB13" s="39"/>
      <c r="FC13" s="39"/>
      <c r="FD13" s="39"/>
      <c r="FE13" s="39"/>
      <c r="FF13" s="39"/>
      <c r="FG13" s="39"/>
      <c r="FH13" s="39"/>
      <c r="FI13" s="39"/>
      <c r="FJ13" s="39"/>
      <c r="FK13" s="39"/>
      <c r="FL13" s="39"/>
      <c r="FM13" s="39"/>
      <c r="FN13" s="39"/>
      <c r="FO13" s="39"/>
      <c r="FP13" s="39"/>
      <c r="FQ13" s="39"/>
      <c r="FR13" s="39"/>
      <c r="FS13" s="39"/>
      <c r="FT13" s="39"/>
      <c r="FU13" s="39"/>
      <c r="FV13" s="39"/>
      <c r="FW13" s="39"/>
      <c r="FX13" s="39"/>
      <c r="FY13" s="39"/>
      <c r="FZ13" s="39"/>
      <c r="GA13" s="39"/>
      <c r="GB13" s="39"/>
      <c r="GC13" s="39"/>
      <c r="GD13" s="39"/>
      <c r="GE13" s="39"/>
      <c r="GF13" s="39"/>
      <c r="GG13" s="39"/>
      <c r="GH13" s="39"/>
      <c r="GI13" s="39"/>
      <c r="GJ13" s="39"/>
      <c r="GK13" s="39"/>
      <c r="GL13" s="39"/>
      <c r="GM13" s="39"/>
      <c r="GN13" s="39"/>
      <c r="GO13" s="39"/>
      <c r="GP13" s="39"/>
      <c r="GQ13" s="39"/>
      <c r="GR13" s="39"/>
      <c r="GS13" s="39"/>
      <c r="GT13" s="39"/>
      <c r="GU13" s="39"/>
      <c r="GV13" s="39"/>
      <c r="GW13" s="39"/>
      <c r="GX13" s="39"/>
      <c r="GY13" s="39"/>
      <c r="GZ13" s="39"/>
      <c r="HA13" s="39"/>
      <c r="HB13" s="39"/>
      <c r="HC13" s="39"/>
      <c r="HD13" s="39"/>
      <c r="HE13" s="39"/>
      <c r="HF13" s="39"/>
      <c r="HG13" s="39"/>
      <c r="HH13" s="39"/>
      <c r="HI13" s="39"/>
      <c r="HJ13" s="39"/>
      <c r="HK13" s="39"/>
      <c r="HL13" s="39"/>
      <c r="HM13" s="39"/>
      <c r="HN13" s="39"/>
      <c r="HO13" s="39"/>
      <c r="HP13" s="39"/>
      <c r="HQ13" s="39"/>
      <c r="HR13" s="39"/>
      <c r="HS13" s="39"/>
      <c r="HT13" s="39"/>
      <c r="HU13" s="39"/>
      <c r="HV13" s="39"/>
      <c r="HW13" s="39"/>
      <c r="HX13" s="39"/>
      <c r="HY13" s="39"/>
      <c r="HZ13" s="39"/>
      <c r="IA13" s="39"/>
      <c r="IB13" s="39"/>
      <c r="IC13" s="39"/>
      <c r="ID13" s="39"/>
      <c r="IE13" s="39"/>
      <c r="IF13" s="39"/>
      <c r="IG13" s="39"/>
      <c r="IH13" s="39"/>
      <c r="II13" s="39"/>
      <c r="IJ13" s="39"/>
      <c r="IK13" s="39"/>
      <c r="IL13" s="39"/>
      <c r="IM13" s="39"/>
      <c r="IN13" s="39"/>
      <c r="IO13" s="39"/>
      <c r="IP13" s="39"/>
      <c r="IQ13" s="39"/>
      <c r="IR13" s="39"/>
      <c r="IS13" s="39"/>
      <c r="IT13" s="39"/>
      <c r="IU13" s="39"/>
      <c r="IV13" s="39"/>
    </row>
    <row r="14" spans="1:256" ht="20.25" customHeight="1" x14ac:dyDescent="0.25">
      <c r="A14" s="123"/>
      <c r="B14" s="123"/>
      <c r="C14" s="123"/>
      <c r="D14" s="123"/>
      <c r="E14" s="45"/>
      <c r="F14" s="45"/>
      <c r="G14" s="45"/>
      <c r="H14" s="45"/>
      <c r="I14" s="163"/>
      <c r="J14" s="45"/>
      <c r="K14" s="45"/>
      <c r="L14" s="45"/>
      <c r="M14" s="45"/>
      <c r="N14" s="45"/>
      <c r="O14" s="45"/>
      <c r="P14" s="45"/>
      <c r="Q14" s="45"/>
      <c r="R14" s="45"/>
      <c r="S14" s="45"/>
      <c r="T14" s="45"/>
      <c r="U14" s="45"/>
      <c r="V14" s="45"/>
      <c r="W14" s="45"/>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23"/>
      <c r="BS14" s="123"/>
      <c r="BT14" s="123"/>
      <c r="BU14" s="123"/>
      <c r="BV14" s="123"/>
      <c r="BW14" s="123"/>
      <c r="BX14" s="123"/>
      <c r="BY14" s="123"/>
      <c r="BZ14" s="123"/>
      <c r="CA14" s="123"/>
      <c r="CB14" s="123"/>
      <c r="CC14" s="123"/>
      <c r="CD14" s="123"/>
      <c r="CE14" s="123"/>
      <c r="CF14" s="123"/>
      <c r="CG14" s="123"/>
      <c r="CH14" s="123"/>
      <c r="CI14" s="123"/>
      <c r="CJ14" s="123"/>
      <c r="CK14" s="123"/>
      <c r="CL14" s="123"/>
      <c r="CM14" s="123"/>
      <c r="CN14" s="123"/>
      <c r="CO14" s="123"/>
      <c r="CP14" s="123"/>
      <c r="CQ14" s="123"/>
      <c r="CR14" s="123"/>
      <c r="CS14" s="123"/>
      <c r="CT14" s="123"/>
      <c r="CU14" s="123"/>
      <c r="CV14" s="123"/>
      <c r="CW14" s="123"/>
      <c r="CX14" s="123"/>
      <c r="CY14" s="123"/>
      <c r="CZ14" s="123"/>
      <c r="DA14" s="123"/>
      <c r="DB14" s="123"/>
      <c r="DC14" s="123"/>
      <c r="DD14" s="123"/>
      <c r="DE14" s="123"/>
      <c r="DF14" s="123"/>
      <c r="DG14" s="123"/>
      <c r="DH14" s="123"/>
      <c r="DI14" s="123"/>
      <c r="DJ14" s="123"/>
      <c r="DK14" s="123"/>
      <c r="DL14" s="123"/>
      <c r="DM14" s="123"/>
      <c r="DN14" s="123"/>
      <c r="DO14" s="123"/>
      <c r="DP14" s="123"/>
      <c r="DQ14" s="123"/>
      <c r="DR14" s="123"/>
      <c r="DS14" s="123"/>
      <c r="DT14" s="123"/>
      <c r="DU14" s="123"/>
      <c r="DV14" s="123"/>
      <c r="DW14" s="123"/>
      <c r="DX14" s="123"/>
      <c r="DY14" s="123"/>
      <c r="DZ14" s="123"/>
      <c r="EA14" s="123"/>
      <c r="EB14" s="123"/>
      <c r="EC14" s="123"/>
      <c r="ED14" s="123"/>
      <c r="EE14" s="123"/>
      <c r="EF14" s="123"/>
      <c r="EG14" s="123"/>
      <c r="EH14" s="123"/>
      <c r="EI14" s="123"/>
      <c r="EJ14" s="123"/>
      <c r="EK14" s="123"/>
      <c r="EL14" s="123"/>
      <c r="EM14" s="123"/>
      <c r="EN14" s="123"/>
      <c r="EO14" s="123"/>
      <c r="EP14" s="123"/>
      <c r="EQ14" s="123"/>
      <c r="ER14" s="123"/>
      <c r="ES14" s="123"/>
      <c r="ET14" s="123"/>
      <c r="EU14" s="123"/>
      <c r="EV14" s="123"/>
      <c r="EW14" s="123"/>
      <c r="EX14" s="123"/>
      <c r="EY14" s="123"/>
      <c r="EZ14" s="123"/>
      <c r="FA14" s="123"/>
      <c r="FB14" s="123"/>
      <c r="FC14" s="123"/>
      <c r="FD14" s="123"/>
      <c r="FE14" s="123"/>
      <c r="FF14" s="123"/>
      <c r="FG14" s="123"/>
      <c r="FH14" s="123"/>
      <c r="FI14" s="123"/>
      <c r="FJ14" s="123"/>
      <c r="FK14" s="123"/>
      <c r="FL14" s="123"/>
      <c r="FM14" s="123"/>
      <c r="FN14" s="123"/>
      <c r="FO14" s="123"/>
      <c r="FP14" s="123"/>
      <c r="FQ14" s="123"/>
      <c r="FR14" s="123"/>
      <c r="FS14" s="123"/>
      <c r="FT14" s="123"/>
      <c r="FU14" s="123"/>
      <c r="FV14" s="123"/>
      <c r="FW14" s="123"/>
      <c r="FX14" s="123"/>
      <c r="FY14" s="123"/>
      <c r="FZ14" s="123"/>
      <c r="GA14" s="123"/>
      <c r="GB14" s="123"/>
      <c r="GC14" s="123"/>
      <c r="GD14" s="123"/>
      <c r="GE14" s="123"/>
      <c r="GF14" s="123"/>
      <c r="GG14" s="123"/>
      <c r="GH14" s="123"/>
      <c r="GI14" s="123"/>
      <c r="GJ14" s="123"/>
      <c r="GK14" s="123"/>
      <c r="GL14" s="123"/>
      <c r="GM14" s="123"/>
      <c r="GN14" s="123"/>
      <c r="GO14" s="123"/>
      <c r="GP14" s="123"/>
      <c r="GQ14" s="123"/>
      <c r="GR14" s="123"/>
      <c r="GS14" s="123"/>
      <c r="GT14" s="123"/>
      <c r="GU14" s="123"/>
      <c r="GV14" s="123"/>
      <c r="GW14" s="123"/>
      <c r="GX14" s="123"/>
      <c r="GY14" s="123"/>
      <c r="GZ14" s="123"/>
      <c r="HA14" s="123"/>
      <c r="HB14" s="123"/>
      <c r="HC14" s="123"/>
      <c r="HD14" s="123"/>
      <c r="HE14" s="123"/>
      <c r="HF14" s="123"/>
      <c r="HG14" s="123"/>
      <c r="HH14" s="123"/>
      <c r="HI14" s="123"/>
      <c r="HJ14" s="123"/>
      <c r="HK14" s="123"/>
      <c r="HL14" s="123"/>
      <c r="HM14" s="123"/>
      <c r="HN14" s="123"/>
      <c r="HO14" s="123"/>
      <c r="HP14" s="123"/>
      <c r="HQ14" s="123"/>
      <c r="HR14" s="123"/>
      <c r="HS14" s="123"/>
      <c r="HT14" s="123"/>
      <c r="HU14" s="123"/>
      <c r="HV14" s="123"/>
      <c r="HW14" s="123"/>
      <c r="HX14" s="123"/>
      <c r="HY14" s="123"/>
      <c r="HZ14" s="123"/>
      <c r="IA14" s="123"/>
      <c r="IB14" s="123"/>
      <c r="IC14" s="123"/>
      <c r="ID14" s="123"/>
      <c r="IE14" s="123"/>
      <c r="IF14" s="123"/>
      <c r="IG14" s="123"/>
      <c r="IH14" s="123"/>
      <c r="II14" s="123"/>
      <c r="IJ14" s="123"/>
      <c r="IK14" s="123"/>
      <c r="IL14" s="123"/>
      <c r="IM14" s="123"/>
      <c r="IN14" s="123"/>
      <c r="IO14" s="123"/>
      <c r="IP14" s="123"/>
      <c r="IQ14" s="123"/>
      <c r="IR14" s="123"/>
      <c r="IS14" s="123"/>
      <c r="IT14" s="123"/>
      <c r="IU14" s="123"/>
      <c r="IV14" s="123"/>
    </row>
    <row r="15" spans="1:256" ht="20.25" x14ac:dyDescent="0.25">
      <c r="A15" s="125"/>
      <c r="B15" s="125"/>
      <c r="C15" s="125"/>
      <c r="D15" s="125"/>
      <c r="E15" s="222" t="s">
        <v>458</v>
      </c>
      <c r="F15" s="222"/>
      <c r="G15" s="222"/>
      <c r="H15" s="222"/>
      <c r="I15" s="222"/>
      <c r="J15" s="222"/>
      <c r="K15" s="222"/>
      <c r="L15" s="222"/>
      <c r="M15" s="222"/>
      <c r="N15" s="222"/>
      <c r="O15" s="222"/>
      <c r="P15" s="222"/>
      <c r="Q15" s="222"/>
      <c r="R15" s="222"/>
      <c r="S15" s="222"/>
      <c r="T15" s="222"/>
      <c r="U15" s="222"/>
      <c r="V15" s="222"/>
      <c r="W15" s="222"/>
      <c r="X15" s="222"/>
      <c r="Y15" s="222"/>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c r="BZ15" s="125"/>
      <c r="CA15" s="125"/>
      <c r="CB15" s="125"/>
      <c r="CC15" s="125"/>
      <c r="CD15" s="125"/>
      <c r="CE15" s="125"/>
      <c r="CF15" s="125"/>
      <c r="CG15" s="125"/>
      <c r="CH15" s="125"/>
      <c r="CI15" s="125"/>
      <c r="CJ15" s="125"/>
      <c r="CK15" s="125"/>
      <c r="CL15" s="125"/>
      <c r="CM15" s="125"/>
      <c r="CN15" s="125"/>
      <c r="CO15" s="125"/>
      <c r="CP15" s="125"/>
      <c r="CQ15" s="125"/>
      <c r="CR15" s="125"/>
      <c r="CS15" s="125"/>
      <c r="CT15" s="125"/>
      <c r="CU15" s="125"/>
      <c r="CV15" s="125"/>
      <c r="CW15" s="125"/>
      <c r="CX15" s="125"/>
      <c r="CY15" s="125"/>
      <c r="CZ15" s="125"/>
      <c r="DA15" s="125"/>
      <c r="DB15" s="125"/>
      <c r="DC15" s="125"/>
      <c r="DD15" s="125"/>
      <c r="DE15" s="125"/>
      <c r="DF15" s="125"/>
      <c r="DG15" s="125"/>
      <c r="DH15" s="125"/>
      <c r="DI15" s="125"/>
      <c r="DJ15" s="125"/>
      <c r="DK15" s="125"/>
      <c r="DL15" s="125"/>
      <c r="DM15" s="125"/>
      <c r="DN15" s="125"/>
      <c r="DO15" s="125"/>
      <c r="DP15" s="125"/>
      <c r="DQ15" s="125"/>
      <c r="DR15" s="125"/>
      <c r="DS15" s="125"/>
      <c r="DT15" s="125"/>
      <c r="DU15" s="125"/>
      <c r="DV15" s="125"/>
      <c r="DW15" s="125"/>
      <c r="DX15" s="125"/>
      <c r="DY15" s="125"/>
      <c r="DZ15" s="125"/>
      <c r="EA15" s="125"/>
      <c r="EB15" s="125"/>
      <c r="EC15" s="125"/>
      <c r="ED15" s="125"/>
      <c r="EE15" s="125"/>
      <c r="EF15" s="125"/>
      <c r="EG15" s="125"/>
      <c r="EH15" s="125"/>
      <c r="EI15" s="125"/>
      <c r="EJ15" s="125"/>
      <c r="EK15" s="125"/>
      <c r="EL15" s="125"/>
      <c r="EM15" s="125"/>
      <c r="EN15" s="125"/>
      <c r="EO15" s="125"/>
      <c r="EP15" s="125"/>
      <c r="EQ15" s="125"/>
      <c r="ER15" s="125"/>
      <c r="ES15" s="125"/>
      <c r="ET15" s="125"/>
      <c r="EU15" s="125"/>
      <c r="EV15" s="125"/>
      <c r="EW15" s="125"/>
      <c r="EX15" s="125"/>
      <c r="EY15" s="125"/>
      <c r="EZ15" s="125"/>
      <c r="FA15" s="125"/>
      <c r="FB15" s="125"/>
      <c r="FC15" s="125"/>
      <c r="FD15" s="125"/>
      <c r="FE15" s="125"/>
      <c r="FF15" s="125"/>
      <c r="FG15" s="125"/>
      <c r="FH15" s="125"/>
      <c r="FI15" s="125"/>
      <c r="FJ15" s="125"/>
      <c r="FK15" s="125"/>
      <c r="FL15" s="125"/>
      <c r="FM15" s="125"/>
      <c r="FN15" s="125"/>
      <c r="FO15" s="125"/>
      <c r="FP15" s="125"/>
      <c r="FQ15" s="125"/>
      <c r="FR15" s="125"/>
      <c r="FS15" s="125"/>
      <c r="FT15" s="125"/>
      <c r="FU15" s="125"/>
      <c r="FV15" s="125"/>
      <c r="FW15" s="125"/>
      <c r="FX15" s="125"/>
      <c r="FY15" s="125"/>
      <c r="FZ15" s="125"/>
      <c r="GA15" s="125"/>
      <c r="GB15" s="125"/>
      <c r="GC15" s="125"/>
      <c r="GD15" s="125"/>
      <c r="GE15" s="125"/>
      <c r="GF15" s="125"/>
      <c r="GG15" s="125"/>
      <c r="GH15" s="125"/>
      <c r="GI15" s="125"/>
      <c r="GJ15" s="125"/>
      <c r="GK15" s="125"/>
      <c r="GL15" s="125"/>
      <c r="GM15" s="125"/>
      <c r="GN15" s="125"/>
      <c r="GO15" s="125"/>
      <c r="GP15" s="125"/>
      <c r="GQ15" s="125"/>
      <c r="GR15" s="125"/>
      <c r="GS15" s="125"/>
      <c r="GT15" s="125"/>
      <c r="GU15" s="125"/>
      <c r="GV15" s="125"/>
      <c r="GW15" s="125"/>
      <c r="GX15" s="125"/>
      <c r="GY15" s="125"/>
      <c r="GZ15" s="125"/>
      <c r="HA15" s="125"/>
      <c r="HB15" s="125"/>
      <c r="HC15" s="125"/>
      <c r="HD15" s="125"/>
      <c r="HE15" s="125"/>
      <c r="HF15" s="125"/>
      <c r="HG15" s="125"/>
      <c r="HH15" s="125"/>
      <c r="HI15" s="125"/>
      <c r="HJ15" s="125"/>
      <c r="HK15" s="125"/>
      <c r="HL15" s="125"/>
      <c r="HM15" s="125"/>
      <c r="HN15" s="125"/>
      <c r="HO15" s="125"/>
      <c r="HP15" s="125"/>
      <c r="HQ15" s="125"/>
      <c r="HR15" s="125"/>
      <c r="HS15" s="125"/>
      <c r="HT15" s="125"/>
      <c r="HU15" s="125"/>
      <c r="HV15" s="125"/>
      <c r="HW15" s="125"/>
      <c r="HX15" s="125"/>
      <c r="HY15" s="125"/>
      <c r="HZ15" s="125"/>
      <c r="IA15" s="125"/>
      <c r="IB15" s="125"/>
      <c r="IC15" s="125"/>
      <c r="ID15" s="125"/>
      <c r="IE15" s="125"/>
      <c r="IF15" s="125"/>
      <c r="IG15" s="125"/>
      <c r="IH15" s="125"/>
      <c r="II15" s="125"/>
      <c r="IJ15" s="125"/>
      <c r="IK15" s="125"/>
      <c r="IL15" s="125"/>
      <c r="IM15" s="125"/>
      <c r="IN15" s="125"/>
      <c r="IO15" s="125"/>
      <c r="IP15" s="125"/>
      <c r="IQ15" s="125"/>
      <c r="IR15" s="125"/>
      <c r="IS15" s="125"/>
      <c r="IT15" s="125"/>
      <c r="IU15" s="125"/>
      <c r="IV15" s="125"/>
    </row>
    <row r="16" spans="1:256" x14ac:dyDescent="0.25">
      <c r="A16" s="125"/>
      <c r="B16" s="125"/>
      <c r="C16" s="125"/>
      <c r="D16" s="125"/>
      <c r="E16" s="220" t="s">
        <v>3</v>
      </c>
      <c r="F16" s="220"/>
      <c r="G16" s="220"/>
      <c r="H16" s="220"/>
      <c r="I16" s="220"/>
      <c r="J16" s="220"/>
      <c r="K16" s="220"/>
      <c r="L16" s="220"/>
      <c r="M16" s="220"/>
      <c r="N16" s="220"/>
      <c r="O16" s="220"/>
      <c r="P16" s="220"/>
      <c r="Q16" s="220"/>
      <c r="R16" s="220"/>
      <c r="S16" s="220"/>
      <c r="T16" s="220"/>
      <c r="U16" s="220"/>
      <c r="V16" s="220"/>
      <c r="W16" s="220"/>
      <c r="X16" s="220"/>
      <c r="Y16" s="220"/>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125"/>
      <c r="BE16" s="125"/>
      <c r="BF16" s="125"/>
      <c r="BG16" s="125"/>
      <c r="BH16" s="125"/>
      <c r="BI16" s="125"/>
      <c r="BJ16" s="125"/>
      <c r="BK16" s="125"/>
      <c r="BL16" s="125"/>
      <c r="BM16" s="125"/>
      <c r="BN16" s="125"/>
      <c r="BO16" s="125"/>
      <c r="BP16" s="125"/>
      <c r="BQ16" s="125"/>
      <c r="BR16" s="125"/>
      <c r="BS16" s="125"/>
      <c r="BT16" s="125"/>
      <c r="BU16" s="125"/>
      <c r="BV16" s="125"/>
      <c r="BW16" s="125"/>
      <c r="BX16" s="125"/>
      <c r="BY16" s="125"/>
      <c r="BZ16" s="125"/>
      <c r="CA16" s="125"/>
      <c r="CB16" s="125"/>
      <c r="CC16" s="125"/>
      <c r="CD16" s="125"/>
      <c r="CE16" s="125"/>
      <c r="CF16" s="125"/>
      <c r="CG16" s="125"/>
      <c r="CH16" s="125"/>
      <c r="CI16" s="125"/>
      <c r="CJ16" s="125"/>
      <c r="CK16" s="125"/>
      <c r="CL16" s="125"/>
      <c r="CM16" s="125"/>
      <c r="CN16" s="125"/>
      <c r="CO16" s="125"/>
      <c r="CP16" s="125"/>
      <c r="CQ16" s="125"/>
      <c r="CR16" s="125"/>
      <c r="CS16" s="125"/>
      <c r="CT16" s="125"/>
      <c r="CU16" s="125"/>
      <c r="CV16" s="125"/>
      <c r="CW16" s="125"/>
      <c r="CX16" s="125"/>
      <c r="CY16" s="125"/>
      <c r="CZ16" s="125"/>
      <c r="DA16" s="125"/>
      <c r="DB16" s="125"/>
      <c r="DC16" s="125"/>
      <c r="DD16" s="125"/>
      <c r="DE16" s="125"/>
      <c r="DF16" s="125"/>
      <c r="DG16" s="125"/>
      <c r="DH16" s="125"/>
      <c r="DI16" s="125"/>
      <c r="DJ16" s="125"/>
      <c r="DK16" s="125"/>
      <c r="DL16" s="125"/>
      <c r="DM16" s="125"/>
      <c r="DN16" s="125"/>
      <c r="DO16" s="125"/>
      <c r="DP16" s="125"/>
      <c r="DQ16" s="125"/>
      <c r="DR16" s="125"/>
      <c r="DS16" s="125"/>
      <c r="DT16" s="125"/>
      <c r="DU16" s="125"/>
      <c r="DV16" s="125"/>
      <c r="DW16" s="125"/>
      <c r="DX16" s="125"/>
      <c r="DY16" s="125"/>
      <c r="DZ16" s="125"/>
      <c r="EA16" s="125"/>
      <c r="EB16" s="125"/>
      <c r="EC16" s="125"/>
      <c r="ED16" s="125"/>
      <c r="EE16" s="125"/>
      <c r="EF16" s="125"/>
      <c r="EG16" s="125"/>
      <c r="EH16" s="125"/>
      <c r="EI16" s="125"/>
      <c r="EJ16" s="125"/>
      <c r="EK16" s="125"/>
      <c r="EL16" s="125"/>
      <c r="EM16" s="125"/>
      <c r="EN16" s="125"/>
      <c r="EO16" s="125"/>
      <c r="EP16" s="125"/>
      <c r="EQ16" s="125"/>
      <c r="ER16" s="125"/>
      <c r="ES16" s="125"/>
      <c r="ET16" s="125"/>
      <c r="EU16" s="125"/>
      <c r="EV16" s="125"/>
      <c r="EW16" s="125"/>
      <c r="EX16" s="125"/>
      <c r="EY16" s="125"/>
      <c r="EZ16" s="125"/>
      <c r="FA16" s="125"/>
      <c r="FB16" s="125"/>
      <c r="FC16" s="125"/>
      <c r="FD16" s="125"/>
      <c r="FE16" s="125"/>
      <c r="FF16" s="125"/>
      <c r="FG16" s="125"/>
      <c r="FH16" s="125"/>
      <c r="FI16" s="125"/>
      <c r="FJ16" s="125"/>
      <c r="FK16" s="125"/>
      <c r="FL16" s="125"/>
      <c r="FM16" s="125"/>
      <c r="FN16" s="125"/>
      <c r="FO16" s="125"/>
      <c r="FP16" s="125"/>
      <c r="FQ16" s="125"/>
      <c r="FR16" s="125"/>
      <c r="FS16" s="125"/>
      <c r="FT16" s="125"/>
      <c r="FU16" s="125"/>
      <c r="FV16" s="125"/>
      <c r="FW16" s="125"/>
      <c r="FX16" s="125"/>
      <c r="FY16" s="125"/>
      <c r="FZ16" s="125"/>
      <c r="GA16" s="125"/>
      <c r="GB16" s="125"/>
      <c r="GC16" s="125"/>
      <c r="GD16" s="125"/>
      <c r="GE16" s="125"/>
      <c r="GF16" s="125"/>
      <c r="GG16" s="125"/>
      <c r="GH16" s="125"/>
      <c r="GI16" s="125"/>
      <c r="GJ16" s="125"/>
      <c r="GK16" s="125"/>
      <c r="GL16" s="125"/>
      <c r="GM16" s="125"/>
      <c r="GN16" s="125"/>
      <c r="GO16" s="125"/>
      <c r="GP16" s="125"/>
      <c r="GQ16" s="125"/>
      <c r="GR16" s="125"/>
      <c r="GS16" s="125"/>
      <c r="GT16" s="125"/>
      <c r="GU16" s="125"/>
      <c r="GV16" s="125"/>
      <c r="GW16" s="125"/>
      <c r="GX16" s="125"/>
      <c r="GY16" s="125"/>
      <c r="GZ16" s="125"/>
      <c r="HA16" s="125"/>
      <c r="HB16" s="125"/>
      <c r="HC16" s="125"/>
      <c r="HD16" s="125"/>
      <c r="HE16" s="125"/>
      <c r="HF16" s="125"/>
      <c r="HG16" s="125"/>
      <c r="HH16" s="125"/>
      <c r="HI16" s="125"/>
      <c r="HJ16" s="125"/>
      <c r="HK16" s="125"/>
      <c r="HL16" s="125"/>
      <c r="HM16" s="125"/>
      <c r="HN16" s="125"/>
      <c r="HO16" s="125"/>
      <c r="HP16" s="125"/>
      <c r="HQ16" s="125"/>
      <c r="HR16" s="125"/>
      <c r="HS16" s="125"/>
      <c r="HT16" s="125"/>
      <c r="HU16" s="125"/>
      <c r="HV16" s="125"/>
      <c r="HW16" s="125"/>
      <c r="HX16" s="125"/>
      <c r="HY16" s="125"/>
      <c r="HZ16" s="125"/>
      <c r="IA16" s="125"/>
      <c r="IB16" s="125"/>
      <c r="IC16" s="125"/>
      <c r="ID16" s="125"/>
      <c r="IE16" s="125"/>
      <c r="IF16" s="125"/>
      <c r="IG16" s="125"/>
      <c r="IH16" s="125"/>
      <c r="II16" s="125"/>
      <c r="IJ16" s="125"/>
      <c r="IK16" s="125"/>
      <c r="IL16" s="125"/>
      <c r="IM16" s="125"/>
      <c r="IN16" s="125"/>
      <c r="IO16" s="125"/>
      <c r="IP16" s="125"/>
      <c r="IQ16" s="125"/>
      <c r="IR16" s="125"/>
      <c r="IS16" s="125"/>
      <c r="IT16" s="125"/>
      <c r="IU16" s="125"/>
      <c r="IV16" s="125"/>
    </row>
    <row r="17" spans="1:256" ht="18.75" x14ac:dyDescent="0.25">
      <c r="A17" s="125"/>
      <c r="B17" s="125"/>
      <c r="C17" s="125"/>
      <c r="D17" s="125"/>
      <c r="E17" s="46"/>
      <c r="F17" s="46"/>
      <c r="G17" s="46"/>
      <c r="H17" s="46"/>
      <c r="I17" s="46"/>
      <c r="J17" s="46"/>
      <c r="K17" s="46"/>
      <c r="L17" s="46"/>
      <c r="M17" s="46"/>
      <c r="N17" s="46"/>
      <c r="O17" s="46"/>
      <c r="P17" s="46"/>
      <c r="Q17" s="46"/>
      <c r="R17" s="46"/>
      <c r="S17" s="46"/>
      <c r="T17" s="46"/>
      <c r="U17" s="46"/>
      <c r="V17" s="46"/>
      <c r="W17" s="46"/>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125"/>
      <c r="BE17" s="125"/>
      <c r="BF17" s="125"/>
      <c r="BG17" s="125"/>
      <c r="BH17" s="125"/>
      <c r="BI17" s="125"/>
      <c r="BJ17" s="125"/>
      <c r="BK17" s="125"/>
      <c r="BL17" s="125"/>
      <c r="BM17" s="125"/>
      <c r="BN17" s="125"/>
      <c r="BO17" s="125"/>
      <c r="BP17" s="125"/>
      <c r="BQ17" s="125"/>
      <c r="BR17" s="125"/>
      <c r="BS17" s="125"/>
      <c r="BT17" s="125"/>
      <c r="BU17" s="125"/>
      <c r="BV17" s="125"/>
      <c r="BW17" s="125"/>
      <c r="BX17" s="125"/>
      <c r="BY17" s="125"/>
      <c r="BZ17" s="125"/>
      <c r="CA17" s="125"/>
      <c r="CB17" s="125"/>
      <c r="CC17" s="125"/>
      <c r="CD17" s="125"/>
      <c r="CE17" s="125"/>
      <c r="CF17" s="125"/>
      <c r="CG17" s="125"/>
      <c r="CH17" s="125"/>
      <c r="CI17" s="125"/>
      <c r="CJ17" s="125"/>
      <c r="CK17" s="125"/>
      <c r="CL17" s="125"/>
      <c r="CM17" s="125"/>
      <c r="CN17" s="125"/>
      <c r="CO17" s="125"/>
      <c r="CP17" s="125"/>
      <c r="CQ17" s="125"/>
      <c r="CR17" s="125"/>
      <c r="CS17" s="125"/>
      <c r="CT17" s="125"/>
      <c r="CU17" s="125"/>
      <c r="CV17" s="125"/>
      <c r="CW17" s="125"/>
      <c r="CX17" s="125"/>
      <c r="CY17" s="125"/>
      <c r="CZ17" s="125"/>
      <c r="DA17" s="125"/>
      <c r="DB17" s="125"/>
      <c r="DC17" s="125"/>
      <c r="DD17" s="125"/>
      <c r="DE17" s="125"/>
      <c r="DF17" s="125"/>
      <c r="DG17" s="125"/>
      <c r="DH17" s="125"/>
      <c r="DI17" s="125"/>
      <c r="DJ17" s="125"/>
      <c r="DK17" s="125"/>
      <c r="DL17" s="125"/>
      <c r="DM17" s="125"/>
      <c r="DN17" s="125"/>
      <c r="DO17" s="125"/>
      <c r="DP17" s="125"/>
      <c r="DQ17" s="125"/>
      <c r="DR17" s="125"/>
      <c r="DS17" s="125"/>
      <c r="DT17" s="125"/>
      <c r="DU17" s="125"/>
      <c r="DV17" s="125"/>
      <c r="DW17" s="125"/>
      <c r="DX17" s="125"/>
      <c r="DY17" s="125"/>
      <c r="DZ17" s="125"/>
      <c r="EA17" s="125"/>
      <c r="EB17" s="125"/>
      <c r="EC17" s="125"/>
      <c r="ED17" s="125"/>
      <c r="EE17" s="125"/>
      <c r="EF17" s="125"/>
      <c r="EG17" s="125"/>
      <c r="EH17" s="125"/>
      <c r="EI17" s="125"/>
      <c r="EJ17" s="125"/>
      <c r="EK17" s="125"/>
      <c r="EL17" s="125"/>
      <c r="EM17" s="125"/>
      <c r="EN17" s="125"/>
      <c r="EO17" s="125"/>
      <c r="EP17" s="125"/>
      <c r="EQ17" s="125"/>
      <c r="ER17" s="125"/>
      <c r="ES17" s="125"/>
      <c r="ET17" s="125"/>
      <c r="EU17" s="125"/>
      <c r="EV17" s="125"/>
      <c r="EW17" s="125"/>
      <c r="EX17" s="125"/>
      <c r="EY17" s="125"/>
      <c r="EZ17" s="125"/>
      <c r="FA17" s="125"/>
      <c r="FB17" s="125"/>
      <c r="FC17" s="125"/>
      <c r="FD17" s="125"/>
      <c r="FE17" s="125"/>
      <c r="FF17" s="125"/>
      <c r="FG17" s="125"/>
      <c r="FH17" s="125"/>
      <c r="FI17" s="125"/>
      <c r="FJ17" s="125"/>
      <c r="FK17" s="125"/>
      <c r="FL17" s="125"/>
      <c r="FM17" s="125"/>
      <c r="FN17" s="125"/>
      <c r="FO17" s="125"/>
      <c r="FP17" s="125"/>
      <c r="FQ17" s="125"/>
      <c r="FR17" s="125"/>
      <c r="FS17" s="125"/>
      <c r="FT17" s="125"/>
      <c r="FU17" s="125"/>
      <c r="FV17" s="125"/>
      <c r="FW17" s="125"/>
      <c r="FX17" s="125"/>
      <c r="FY17" s="125"/>
      <c r="FZ17" s="125"/>
      <c r="GA17" s="125"/>
      <c r="GB17" s="125"/>
      <c r="GC17" s="125"/>
      <c r="GD17" s="125"/>
      <c r="GE17" s="125"/>
      <c r="GF17" s="125"/>
      <c r="GG17" s="125"/>
      <c r="GH17" s="125"/>
      <c r="GI17" s="125"/>
      <c r="GJ17" s="125"/>
      <c r="GK17" s="125"/>
      <c r="GL17" s="125"/>
      <c r="GM17" s="125"/>
      <c r="GN17" s="125"/>
      <c r="GO17" s="125"/>
      <c r="GP17" s="125"/>
      <c r="GQ17" s="125"/>
      <c r="GR17" s="125"/>
      <c r="GS17" s="125"/>
      <c r="GT17" s="125"/>
      <c r="GU17" s="125"/>
      <c r="GV17" s="125"/>
      <c r="GW17" s="125"/>
      <c r="GX17" s="125"/>
      <c r="GY17" s="125"/>
      <c r="GZ17" s="125"/>
      <c r="HA17" s="125"/>
      <c r="HB17" s="125"/>
      <c r="HC17" s="125"/>
      <c r="HD17" s="125"/>
      <c r="HE17" s="125"/>
      <c r="HF17" s="125"/>
      <c r="HG17" s="125"/>
      <c r="HH17" s="125"/>
      <c r="HI17" s="125"/>
      <c r="HJ17" s="125"/>
      <c r="HK17" s="125"/>
      <c r="HL17" s="125"/>
      <c r="HM17" s="125"/>
      <c r="HN17" s="125"/>
      <c r="HO17" s="125"/>
      <c r="HP17" s="125"/>
      <c r="HQ17" s="125"/>
      <c r="HR17" s="125"/>
      <c r="HS17" s="125"/>
      <c r="HT17" s="125"/>
      <c r="HU17" s="125"/>
      <c r="HV17" s="125"/>
      <c r="HW17" s="125"/>
      <c r="HX17" s="125"/>
      <c r="HY17" s="125"/>
      <c r="HZ17" s="125"/>
      <c r="IA17" s="125"/>
      <c r="IB17" s="125"/>
      <c r="IC17" s="125"/>
      <c r="ID17" s="125"/>
      <c r="IE17" s="125"/>
      <c r="IF17" s="125"/>
      <c r="IG17" s="125"/>
      <c r="IH17" s="125"/>
      <c r="II17" s="125"/>
      <c r="IJ17" s="125"/>
      <c r="IK17" s="125"/>
      <c r="IL17" s="125"/>
      <c r="IM17" s="125"/>
      <c r="IN17" s="125"/>
      <c r="IO17" s="125"/>
      <c r="IP17" s="125"/>
      <c r="IQ17" s="125"/>
      <c r="IR17" s="125"/>
      <c r="IS17" s="125"/>
      <c r="IT17" s="125"/>
      <c r="IU17" s="125"/>
      <c r="IV17" s="125"/>
    </row>
    <row r="18" spans="1:256" ht="18.75" x14ac:dyDescent="0.25">
      <c r="A18" s="125"/>
      <c r="B18" s="125"/>
      <c r="C18" s="125"/>
      <c r="D18" s="125"/>
      <c r="E18" s="219"/>
      <c r="F18" s="219"/>
      <c r="G18" s="219"/>
      <c r="H18" s="219"/>
      <c r="I18" s="219"/>
      <c r="J18" s="219"/>
      <c r="K18" s="219"/>
      <c r="L18" s="219"/>
      <c r="M18" s="219"/>
      <c r="N18" s="219"/>
      <c r="O18" s="219"/>
      <c r="P18" s="219"/>
      <c r="Q18" s="219"/>
      <c r="R18" s="219"/>
      <c r="S18" s="219"/>
      <c r="T18" s="219"/>
      <c r="U18" s="219"/>
      <c r="V18" s="219"/>
      <c r="W18" s="219"/>
      <c r="X18" s="219"/>
      <c r="Y18" s="219"/>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c r="BZ18" s="125"/>
      <c r="CA18" s="125"/>
      <c r="CB18" s="125"/>
      <c r="CC18" s="125"/>
      <c r="CD18" s="125"/>
      <c r="CE18" s="125"/>
      <c r="CF18" s="125"/>
      <c r="CG18" s="125"/>
      <c r="CH18" s="125"/>
      <c r="CI18" s="125"/>
      <c r="CJ18" s="125"/>
      <c r="CK18" s="125"/>
      <c r="CL18" s="125"/>
      <c r="CM18" s="125"/>
      <c r="CN18" s="125"/>
      <c r="CO18" s="125"/>
      <c r="CP18" s="125"/>
      <c r="CQ18" s="125"/>
      <c r="CR18" s="125"/>
      <c r="CS18" s="125"/>
      <c r="CT18" s="125"/>
      <c r="CU18" s="125"/>
      <c r="CV18" s="125"/>
      <c r="CW18" s="125"/>
      <c r="CX18" s="125"/>
      <c r="CY18" s="125"/>
      <c r="CZ18" s="125"/>
      <c r="DA18" s="125"/>
      <c r="DB18" s="125"/>
      <c r="DC18" s="125"/>
      <c r="DD18" s="125"/>
      <c r="DE18" s="125"/>
      <c r="DF18" s="125"/>
      <c r="DG18" s="125"/>
      <c r="DH18" s="125"/>
      <c r="DI18" s="125"/>
      <c r="DJ18" s="125"/>
      <c r="DK18" s="125"/>
      <c r="DL18" s="125"/>
      <c r="DM18" s="125"/>
      <c r="DN18" s="125"/>
      <c r="DO18" s="125"/>
      <c r="DP18" s="125"/>
      <c r="DQ18" s="125"/>
      <c r="DR18" s="125"/>
      <c r="DS18" s="125"/>
      <c r="DT18" s="125"/>
      <c r="DU18" s="125"/>
      <c r="DV18" s="125"/>
      <c r="DW18" s="125"/>
      <c r="DX18" s="125"/>
      <c r="DY18" s="125"/>
      <c r="DZ18" s="125"/>
      <c r="EA18" s="125"/>
      <c r="EB18" s="125"/>
      <c r="EC18" s="125"/>
      <c r="ED18" s="125"/>
      <c r="EE18" s="125"/>
      <c r="EF18" s="125"/>
      <c r="EG18" s="125"/>
      <c r="EH18" s="125"/>
      <c r="EI18" s="125"/>
      <c r="EJ18" s="125"/>
      <c r="EK18" s="125"/>
      <c r="EL18" s="125"/>
      <c r="EM18" s="125"/>
      <c r="EN18" s="125"/>
      <c r="EO18" s="125"/>
      <c r="EP18" s="125"/>
      <c r="EQ18" s="125"/>
      <c r="ER18" s="125"/>
      <c r="ES18" s="125"/>
      <c r="ET18" s="125"/>
      <c r="EU18" s="125"/>
      <c r="EV18" s="125"/>
      <c r="EW18" s="125"/>
      <c r="EX18" s="125"/>
      <c r="EY18" s="125"/>
      <c r="EZ18" s="125"/>
      <c r="FA18" s="125"/>
      <c r="FB18" s="125"/>
      <c r="FC18" s="125"/>
      <c r="FD18" s="125"/>
      <c r="FE18" s="125"/>
      <c r="FF18" s="125"/>
      <c r="FG18" s="125"/>
      <c r="FH18" s="125"/>
      <c r="FI18" s="125"/>
      <c r="FJ18" s="125"/>
      <c r="FK18" s="125"/>
      <c r="FL18" s="125"/>
      <c r="FM18" s="125"/>
      <c r="FN18" s="125"/>
      <c r="FO18" s="125"/>
      <c r="FP18" s="125"/>
      <c r="FQ18" s="125"/>
      <c r="FR18" s="125"/>
      <c r="FS18" s="125"/>
      <c r="FT18" s="125"/>
      <c r="FU18" s="125"/>
      <c r="FV18" s="125"/>
      <c r="FW18" s="125"/>
      <c r="FX18" s="125"/>
      <c r="FY18" s="125"/>
      <c r="FZ18" s="125"/>
      <c r="GA18" s="125"/>
      <c r="GB18" s="125"/>
      <c r="GC18" s="125"/>
      <c r="GD18" s="125"/>
      <c r="GE18" s="125"/>
      <c r="GF18" s="125"/>
      <c r="GG18" s="125"/>
      <c r="GH18" s="125"/>
      <c r="GI18" s="125"/>
      <c r="GJ18" s="125"/>
      <c r="GK18" s="125"/>
      <c r="GL18" s="125"/>
      <c r="GM18" s="125"/>
      <c r="GN18" s="125"/>
      <c r="GO18" s="125"/>
      <c r="GP18" s="125"/>
      <c r="GQ18" s="125"/>
      <c r="GR18" s="125"/>
      <c r="GS18" s="125"/>
      <c r="GT18" s="125"/>
      <c r="GU18" s="125"/>
      <c r="GV18" s="125"/>
      <c r="GW18" s="125"/>
      <c r="GX18" s="125"/>
      <c r="GY18" s="125"/>
      <c r="GZ18" s="125"/>
      <c r="HA18" s="125"/>
      <c r="HB18" s="125"/>
      <c r="HC18" s="125"/>
      <c r="HD18" s="125"/>
      <c r="HE18" s="125"/>
      <c r="HF18" s="125"/>
      <c r="HG18" s="125"/>
      <c r="HH18" s="125"/>
      <c r="HI18" s="125"/>
      <c r="HJ18" s="125"/>
      <c r="HK18" s="125"/>
      <c r="HL18" s="125"/>
      <c r="HM18" s="125"/>
      <c r="HN18" s="125"/>
      <c r="HO18" s="125"/>
      <c r="HP18" s="125"/>
      <c r="HQ18" s="125"/>
      <c r="HR18" s="125"/>
      <c r="HS18" s="125"/>
      <c r="HT18" s="125"/>
      <c r="HU18" s="125"/>
      <c r="HV18" s="125"/>
      <c r="HW18" s="125"/>
      <c r="HX18" s="125"/>
      <c r="HY18" s="125"/>
      <c r="HZ18" s="125"/>
      <c r="IA18" s="125"/>
      <c r="IB18" s="125"/>
      <c r="IC18" s="125"/>
      <c r="ID18" s="125"/>
      <c r="IE18" s="125"/>
      <c r="IF18" s="125"/>
      <c r="IG18" s="125"/>
      <c r="IH18" s="125"/>
      <c r="II18" s="125"/>
      <c r="IJ18" s="125"/>
      <c r="IK18" s="125"/>
      <c r="IL18" s="125"/>
      <c r="IM18" s="125"/>
      <c r="IN18" s="125"/>
      <c r="IO18" s="125"/>
      <c r="IP18" s="125"/>
      <c r="IQ18" s="125"/>
      <c r="IR18" s="125"/>
      <c r="IS18" s="125"/>
      <c r="IT18" s="125"/>
      <c r="IU18" s="125"/>
      <c r="IV18" s="125"/>
    </row>
    <row r="19" spans="1:256" ht="18.75" x14ac:dyDescent="0.25">
      <c r="A19" s="219" t="s">
        <v>321</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56"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4"/>
      <c r="BA20" s="164"/>
      <c r="BB20" s="164"/>
      <c r="BC20" s="164"/>
      <c r="BD20" s="164"/>
      <c r="BE20" s="164"/>
      <c r="BF20" s="164"/>
      <c r="BG20" s="164"/>
      <c r="BH20" s="164"/>
      <c r="BI20" s="164"/>
      <c r="BJ20" s="164"/>
      <c r="BK20" s="164"/>
      <c r="BL20" s="164"/>
      <c r="BM20" s="164"/>
      <c r="BN20" s="164"/>
      <c r="BO20" s="164"/>
      <c r="BP20" s="164"/>
      <c r="BQ20" s="164"/>
      <c r="BR20" s="164"/>
      <c r="BS20" s="164"/>
      <c r="BT20" s="164"/>
      <c r="BU20" s="164"/>
      <c r="BV20" s="164"/>
      <c r="BW20" s="164"/>
      <c r="BX20" s="164"/>
      <c r="BY20" s="164"/>
      <c r="BZ20" s="164"/>
      <c r="CA20" s="164"/>
      <c r="CB20" s="164"/>
      <c r="CC20" s="164"/>
      <c r="CD20" s="164"/>
      <c r="CE20" s="164"/>
      <c r="CF20" s="164"/>
      <c r="CG20" s="164"/>
      <c r="CH20" s="164"/>
      <c r="CI20" s="164"/>
      <c r="CJ20" s="164"/>
      <c r="CK20" s="164"/>
      <c r="CL20" s="164"/>
      <c r="CM20" s="164"/>
      <c r="CN20" s="164"/>
      <c r="CO20" s="164"/>
      <c r="CP20" s="164"/>
      <c r="CQ20" s="164"/>
      <c r="CR20" s="164"/>
      <c r="CS20" s="164"/>
      <c r="CT20" s="164"/>
      <c r="CU20" s="164"/>
      <c r="CV20" s="164"/>
      <c r="CW20" s="164"/>
      <c r="CX20" s="164"/>
      <c r="CY20" s="164"/>
      <c r="CZ20" s="164"/>
      <c r="DA20" s="164"/>
      <c r="DB20" s="164"/>
      <c r="DC20" s="164"/>
      <c r="DD20" s="164"/>
      <c r="DE20" s="164"/>
      <c r="DF20" s="164"/>
      <c r="DG20" s="164"/>
      <c r="DH20" s="164"/>
      <c r="DI20" s="164"/>
      <c r="DJ20" s="164"/>
      <c r="DK20" s="164"/>
      <c r="DL20" s="164"/>
      <c r="DM20" s="164"/>
      <c r="DN20" s="164"/>
      <c r="DO20" s="164"/>
      <c r="DP20" s="164"/>
      <c r="DQ20" s="164"/>
      <c r="DR20" s="164"/>
      <c r="DS20" s="164"/>
      <c r="DT20" s="164"/>
      <c r="DU20" s="164"/>
      <c r="DV20" s="164"/>
      <c r="DW20" s="164"/>
      <c r="DX20" s="164"/>
      <c r="DY20" s="164"/>
      <c r="DZ20" s="164"/>
      <c r="EA20" s="164"/>
      <c r="EB20" s="164"/>
      <c r="EC20" s="164"/>
      <c r="ED20" s="164"/>
      <c r="EE20" s="164"/>
      <c r="EF20" s="164"/>
      <c r="EG20" s="164"/>
      <c r="EH20" s="164"/>
      <c r="EI20" s="164"/>
      <c r="EJ20" s="164"/>
      <c r="EK20" s="164"/>
      <c r="EL20" s="164"/>
      <c r="EM20" s="164"/>
      <c r="EN20" s="164"/>
      <c r="EO20" s="164"/>
      <c r="EP20" s="164"/>
      <c r="EQ20" s="164"/>
      <c r="ER20" s="164"/>
      <c r="ES20" s="164"/>
      <c r="ET20" s="164"/>
      <c r="EU20" s="164"/>
      <c r="EV20" s="164"/>
      <c r="EW20" s="164"/>
      <c r="EX20" s="164"/>
      <c r="EY20" s="164"/>
      <c r="EZ20" s="164"/>
      <c r="FA20" s="164"/>
      <c r="FB20" s="164"/>
      <c r="FC20" s="164"/>
      <c r="FD20" s="164"/>
      <c r="FE20" s="164"/>
      <c r="FF20" s="164"/>
      <c r="FG20" s="164"/>
      <c r="FH20" s="164"/>
      <c r="FI20" s="164"/>
      <c r="FJ20" s="164"/>
      <c r="FK20" s="164"/>
      <c r="FL20" s="164"/>
      <c r="FM20" s="164"/>
      <c r="FN20" s="164"/>
      <c r="FO20" s="164"/>
      <c r="FP20" s="164"/>
      <c r="FQ20" s="164"/>
      <c r="FR20" s="164"/>
      <c r="FS20" s="164"/>
      <c r="FT20" s="164"/>
      <c r="FU20" s="164"/>
      <c r="FV20" s="164"/>
      <c r="FW20" s="164"/>
      <c r="FX20" s="164"/>
      <c r="FY20" s="164"/>
      <c r="FZ20" s="164"/>
      <c r="GA20" s="164"/>
      <c r="GB20" s="164"/>
      <c r="GC20" s="164"/>
      <c r="GD20" s="164"/>
      <c r="GE20" s="164"/>
      <c r="GF20" s="164"/>
      <c r="GG20" s="164"/>
      <c r="GH20" s="164"/>
      <c r="GI20" s="164"/>
      <c r="GJ20" s="164"/>
      <c r="GK20" s="164"/>
      <c r="GL20" s="164"/>
      <c r="GM20" s="164"/>
      <c r="GN20" s="164"/>
      <c r="GO20" s="164"/>
      <c r="GP20" s="164"/>
      <c r="GQ20" s="164"/>
      <c r="GR20" s="164"/>
      <c r="GS20" s="164"/>
      <c r="GT20" s="164"/>
      <c r="GU20" s="164"/>
      <c r="GV20" s="164"/>
      <c r="GW20" s="164"/>
      <c r="GX20" s="164"/>
      <c r="GY20" s="164"/>
      <c r="GZ20" s="164"/>
      <c r="HA20" s="164"/>
      <c r="HB20" s="164"/>
      <c r="HC20" s="164"/>
      <c r="HD20" s="164"/>
      <c r="HE20" s="164"/>
      <c r="HF20" s="164"/>
      <c r="HG20" s="164"/>
      <c r="HH20" s="164"/>
      <c r="HI20" s="164"/>
      <c r="HJ20" s="164"/>
      <c r="HK20" s="164"/>
      <c r="HL20" s="164"/>
      <c r="HM20" s="164"/>
      <c r="HN20" s="164"/>
      <c r="HO20" s="164"/>
      <c r="HP20" s="164"/>
      <c r="HQ20" s="164"/>
      <c r="HR20" s="164"/>
      <c r="HS20" s="164"/>
      <c r="HT20" s="164"/>
      <c r="HU20" s="164"/>
      <c r="HV20" s="164"/>
      <c r="HW20" s="164"/>
      <c r="HX20" s="164"/>
      <c r="HY20" s="164"/>
      <c r="HZ20" s="164"/>
      <c r="IA20" s="164"/>
      <c r="IB20" s="164"/>
      <c r="IC20" s="164"/>
      <c r="ID20" s="164"/>
      <c r="IE20" s="164"/>
      <c r="IF20" s="164"/>
      <c r="IG20" s="164"/>
      <c r="IH20" s="164"/>
      <c r="II20" s="164"/>
      <c r="IJ20" s="164"/>
      <c r="IK20" s="164"/>
      <c r="IL20" s="164"/>
      <c r="IM20" s="164"/>
      <c r="IN20" s="164"/>
      <c r="IO20" s="164"/>
      <c r="IP20" s="164"/>
      <c r="IQ20" s="164"/>
      <c r="IR20" s="164"/>
      <c r="IS20" s="164"/>
      <c r="IT20" s="164"/>
      <c r="IU20" s="164"/>
      <c r="IV20" s="164"/>
    </row>
    <row r="21" spans="1:256" x14ac:dyDescent="0.25">
      <c r="A21" s="239" t="s">
        <v>2</v>
      </c>
      <c r="B21" s="235" t="s">
        <v>322</v>
      </c>
      <c r="C21" s="236"/>
      <c r="D21" s="235" t="s">
        <v>323</v>
      </c>
      <c r="E21" s="236"/>
      <c r="F21" s="242" t="s">
        <v>309</v>
      </c>
      <c r="G21" s="243"/>
      <c r="H21" s="243"/>
      <c r="I21" s="244"/>
      <c r="J21" s="239" t="s">
        <v>324</v>
      </c>
      <c r="K21" s="235" t="s">
        <v>325</v>
      </c>
      <c r="L21" s="236"/>
      <c r="M21" s="235" t="s">
        <v>326</v>
      </c>
      <c r="N21" s="236"/>
      <c r="O21" s="235" t="s">
        <v>327</v>
      </c>
      <c r="P21" s="236"/>
      <c r="Q21" s="235" t="s">
        <v>328</v>
      </c>
      <c r="R21" s="236"/>
      <c r="S21" s="239" t="s">
        <v>329</v>
      </c>
      <c r="T21" s="239" t="s">
        <v>330</v>
      </c>
      <c r="U21" s="239" t="s">
        <v>331</v>
      </c>
      <c r="V21" s="235" t="s">
        <v>332</v>
      </c>
      <c r="W21" s="236"/>
      <c r="X21" s="242" t="s">
        <v>36</v>
      </c>
      <c r="Y21" s="243"/>
      <c r="Z21" s="242" t="s">
        <v>35</v>
      </c>
      <c r="AA21" s="243"/>
    </row>
    <row r="22" spans="1:256" ht="141.75" x14ac:dyDescent="0.25">
      <c r="A22" s="240"/>
      <c r="B22" s="237"/>
      <c r="C22" s="238"/>
      <c r="D22" s="237"/>
      <c r="E22" s="238"/>
      <c r="F22" s="242" t="s">
        <v>333</v>
      </c>
      <c r="G22" s="244"/>
      <c r="H22" s="242" t="s">
        <v>334</v>
      </c>
      <c r="I22" s="244"/>
      <c r="J22" s="241"/>
      <c r="K22" s="237"/>
      <c r="L22" s="238"/>
      <c r="M22" s="237"/>
      <c r="N22" s="238"/>
      <c r="O22" s="237"/>
      <c r="P22" s="238"/>
      <c r="Q22" s="237"/>
      <c r="R22" s="238"/>
      <c r="S22" s="241"/>
      <c r="T22" s="241"/>
      <c r="U22" s="241"/>
      <c r="V22" s="237"/>
      <c r="W22" s="238"/>
      <c r="X22" s="48" t="s">
        <v>34</v>
      </c>
      <c r="Y22" s="48" t="s">
        <v>239</v>
      </c>
      <c r="Z22" s="48" t="s">
        <v>33</v>
      </c>
      <c r="AA22" s="48" t="s">
        <v>32</v>
      </c>
    </row>
    <row r="23" spans="1:256" x14ac:dyDescent="0.25">
      <c r="A23" s="241"/>
      <c r="B23" s="84" t="s">
        <v>30</v>
      </c>
      <c r="C23" s="84" t="s">
        <v>31</v>
      </c>
      <c r="D23" s="84" t="s">
        <v>30</v>
      </c>
      <c r="E23" s="84" t="s">
        <v>31</v>
      </c>
      <c r="F23" s="84" t="s">
        <v>30</v>
      </c>
      <c r="G23" s="84" t="s">
        <v>31</v>
      </c>
      <c r="H23" s="84" t="s">
        <v>30</v>
      </c>
      <c r="I23" s="84" t="s">
        <v>31</v>
      </c>
      <c r="J23" s="84" t="s">
        <v>30</v>
      </c>
      <c r="K23" s="84" t="s">
        <v>30</v>
      </c>
      <c r="L23" s="84" t="s">
        <v>31</v>
      </c>
      <c r="M23" s="84" t="s">
        <v>30</v>
      </c>
      <c r="N23" s="84" t="s">
        <v>31</v>
      </c>
      <c r="O23" s="84" t="s">
        <v>30</v>
      </c>
      <c r="P23" s="84" t="s">
        <v>31</v>
      </c>
      <c r="Q23" s="84" t="s">
        <v>30</v>
      </c>
      <c r="R23" s="84" t="s">
        <v>31</v>
      </c>
      <c r="S23" s="84" t="s">
        <v>30</v>
      </c>
      <c r="T23" s="84" t="s">
        <v>30</v>
      </c>
      <c r="U23" s="84" t="s">
        <v>30</v>
      </c>
      <c r="V23" s="84" t="s">
        <v>30</v>
      </c>
      <c r="W23" s="84" t="s">
        <v>31</v>
      </c>
      <c r="X23" s="84" t="s">
        <v>30</v>
      </c>
      <c r="Y23" s="84" t="s">
        <v>30</v>
      </c>
      <c r="Z23" s="48" t="s">
        <v>30</v>
      </c>
      <c r="AA23" s="48" t="s">
        <v>30</v>
      </c>
    </row>
    <row r="24" spans="1:256" x14ac:dyDescent="0.25">
      <c r="A24" s="165">
        <v>1</v>
      </c>
      <c r="B24" s="165">
        <v>2</v>
      </c>
      <c r="C24" s="165">
        <v>3</v>
      </c>
      <c r="D24" s="165">
        <v>4</v>
      </c>
      <c r="E24" s="165">
        <v>5</v>
      </c>
      <c r="F24" s="165">
        <v>6</v>
      </c>
      <c r="G24" s="165">
        <v>7</v>
      </c>
      <c r="H24" s="165">
        <v>8</v>
      </c>
      <c r="I24" s="165">
        <v>9</v>
      </c>
      <c r="J24" s="165">
        <v>10</v>
      </c>
      <c r="K24" s="165">
        <v>11</v>
      </c>
      <c r="L24" s="165">
        <v>12</v>
      </c>
      <c r="M24" s="165">
        <v>13</v>
      </c>
      <c r="N24" s="165">
        <v>14</v>
      </c>
      <c r="O24" s="165">
        <v>15</v>
      </c>
      <c r="P24" s="165">
        <v>16</v>
      </c>
      <c r="Q24" s="165">
        <v>19</v>
      </c>
      <c r="R24" s="165">
        <v>20</v>
      </c>
      <c r="S24" s="165">
        <v>21</v>
      </c>
      <c r="T24" s="165">
        <v>22</v>
      </c>
      <c r="U24" s="165">
        <v>23</v>
      </c>
      <c r="V24" s="165">
        <v>24</v>
      </c>
      <c r="W24" s="165">
        <v>25</v>
      </c>
      <c r="X24" s="165">
        <v>26</v>
      </c>
      <c r="Y24" s="165">
        <v>27</v>
      </c>
      <c r="Z24" s="165">
        <v>28</v>
      </c>
      <c r="AA24" s="165">
        <v>29</v>
      </c>
    </row>
    <row r="25" spans="1:256" s="194" customFormat="1" ht="34.5" customHeight="1" x14ac:dyDescent="0.25">
      <c r="A25" s="193" t="s">
        <v>319</v>
      </c>
      <c r="B25" s="193" t="s">
        <v>319</v>
      </c>
      <c r="C25" s="48" t="s">
        <v>319</v>
      </c>
      <c r="D25" s="193" t="s">
        <v>319</v>
      </c>
      <c r="E25" s="48" t="s">
        <v>319</v>
      </c>
      <c r="F25" s="193" t="s">
        <v>319</v>
      </c>
      <c r="G25" s="193" t="s">
        <v>319</v>
      </c>
      <c r="H25" s="193" t="s">
        <v>319</v>
      </c>
      <c r="I25" s="193" t="s">
        <v>319</v>
      </c>
      <c r="J25" s="193" t="s">
        <v>319</v>
      </c>
      <c r="K25" s="193" t="s">
        <v>319</v>
      </c>
      <c r="L25" s="193" t="s">
        <v>319</v>
      </c>
      <c r="M25" s="193" t="s">
        <v>319</v>
      </c>
      <c r="N25" s="193" t="s">
        <v>319</v>
      </c>
      <c r="O25" s="193" t="s">
        <v>319</v>
      </c>
      <c r="P25" s="193" t="s">
        <v>319</v>
      </c>
      <c r="Q25" s="193" t="s">
        <v>319</v>
      </c>
      <c r="R25" s="193" t="s">
        <v>319</v>
      </c>
      <c r="S25" s="193" t="s">
        <v>319</v>
      </c>
      <c r="T25" s="193" t="s">
        <v>319</v>
      </c>
      <c r="U25" s="193" t="s">
        <v>319</v>
      </c>
      <c r="V25" s="193" t="s">
        <v>319</v>
      </c>
      <c r="W25" s="193" t="s">
        <v>319</v>
      </c>
      <c r="X25" s="193" t="s">
        <v>319</v>
      </c>
      <c r="Y25" s="193" t="s">
        <v>319</v>
      </c>
      <c r="Z25" s="193" t="s">
        <v>319</v>
      </c>
      <c r="AA25" s="193" t="s">
        <v>319</v>
      </c>
      <c r="AB25" s="192"/>
      <c r="AC25" s="192"/>
      <c r="AD25" s="192"/>
      <c r="AE25" s="192"/>
      <c r="AF25" s="192"/>
      <c r="AG25" s="192"/>
      <c r="AH25" s="192"/>
      <c r="AI25" s="192"/>
      <c r="AJ25" s="192"/>
      <c r="AK25" s="192"/>
      <c r="AL25" s="192"/>
      <c r="AM25" s="192"/>
      <c r="AN25" s="192"/>
      <c r="AO25" s="192"/>
      <c r="AP25" s="192"/>
      <c r="AQ25" s="192"/>
      <c r="AR25" s="192"/>
      <c r="AS25" s="192"/>
      <c r="AT25" s="192"/>
      <c r="AU25" s="192"/>
      <c r="AV25" s="192"/>
      <c r="AW25" s="192"/>
      <c r="AX25" s="192"/>
      <c r="AY25" s="192"/>
      <c r="AZ25" s="192"/>
      <c r="BA25" s="192"/>
      <c r="BB25" s="192"/>
      <c r="BC25" s="192"/>
      <c r="BD25" s="192"/>
      <c r="BE25" s="192"/>
      <c r="BF25" s="192"/>
      <c r="BG25" s="192"/>
      <c r="BH25" s="192"/>
      <c r="BI25" s="192"/>
      <c r="BJ25" s="192"/>
      <c r="BK25" s="192"/>
      <c r="BL25" s="192"/>
      <c r="BM25" s="192"/>
      <c r="BN25" s="192"/>
      <c r="BO25" s="192"/>
      <c r="BP25" s="192"/>
      <c r="BQ25" s="192"/>
      <c r="BR25" s="192"/>
      <c r="BS25" s="192"/>
      <c r="BT25" s="192"/>
      <c r="BU25" s="192"/>
      <c r="BV25" s="192"/>
      <c r="BW25" s="192"/>
      <c r="BX25" s="192"/>
      <c r="BY25" s="192"/>
      <c r="BZ25" s="192"/>
      <c r="CA25" s="192"/>
      <c r="CB25" s="192"/>
      <c r="CC25" s="192"/>
      <c r="CD25" s="192"/>
      <c r="CE25" s="192"/>
      <c r="CF25" s="192"/>
      <c r="CG25" s="192"/>
      <c r="CH25" s="192"/>
      <c r="CI25" s="192"/>
      <c r="CJ25" s="192"/>
      <c r="CK25" s="192"/>
      <c r="CL25" s="192"/>
      <c r="CM25" s="192"/>
      <c r="CN25" s="192"/>
      <c r="CO25" s="192"/>
      <c r="CP25" s="192"/>
      <c r="CQ25" s="192"/>
      <c r="CR25" s="192"/>
      <c r="CS25" s="192"/>
      <c r="CT25" s="192"/>
      <c r="CU25" s="192"/>
      <c r="CV25" s="192"/>
      <c r="CW25" s="192"/>
      <c r="CX25" s="192"/>
      <c r="CY25" s="192"/>
      <c r="CZ25" s="192"/>
      <c r="DA25" s="192"/>
      <c r="DB25" s="192"/>
      <c r="DC25" s="192"/>
      <c r="DD25" s="192"/>
      <c r="DE25" s="192"/>
      <c r="DF25" s="192"/>
      <c r="DG25" s="192"/>
      <c r="DH25" s="192"/>
      <c r="DI25" s="192"/>
      <c r="DJ25" s="192"/>
      <c r="DK25" s="192"/>
      <c r="DL25" s="192"/>
      <c r="DM25" s="192"/>
      <c r="DN25" s="192"/>
      <c r="DO25" s="192"/>
      <c r="DP25" s="192"/>
      <c r="DQ25" s="192"/>
      <c r="DR25" s="192"/>
      <c r="DS25" s="192"/>
      <c r="DT25" s="192"/>
      <c r="DU25" s="192"/>
      <c r="DV25" s="192"/>
      <c r="DW25" s="192"/>
      <c r="DX25" s="192"/>
      <c r="DY25" s="192"/>
      <c r="DZ25" s="192"/>
      <c r="EA25" s="192"/>
      <c r="EB25" s="192"/>
      <c r="EC25" s="192"/>
      <c r="ED25" s="192"/>
      <c r="EE25" s="192"/>
      <c r="EF25" s="192"/>
      <c r="EG25" s="192"/>
      <c r="EH25" s="192"/>
      <c r="EI25" s="192"/>
      <c r="EJ25" s="192"/>
      <c r="EK25" s="192"/>
      <c r="EL25" s="192"/>
      <c r="EM25" s="192"/>
      <c r="EN25" s="192"/>
      <c r="EO25" s="192"/>
      <c r="EP25" s="192"/>
      <c r="EQ25" s="192"/>
      <c r="ER25" s="192"/>
      <c r="ES25" s="192"/>
      <c r="ET25" s="192"/>
      <c r="EU25" s="192"/>
      <c r="EV25" s="192"/>
      <c r="EW25" s="192"/>
      <c r="EX25" s="192"/>
      <c r="EY25" s="192"/>
      <c r="EZ25" s="192"/>
      <c r="FA25" s="192"/>
      <c r="FB25" s="192"/>
      <c r="FC25" s="192"/>
      <c r="FD25" s="192"/>
      <c r="FE25" s="192"/>
      <c r="FF25" s="192"/>
      <c r="FG25" s="192"/>
      <c r="FH25" s="192"/>
      <c r="FI25" s="192"/>
      <c r="FJ25" s="192"/>
      <c r="FK25" s="192"/>
      <c r="FL25" s="192"/>
      <c r="FM25" s="192"/>
      <c r="FN25" s="192"/>
      <c r="FO25" s="192"/>
      <c r="FP25" s="192"/>
      <c r="FQ25" s="192"/>
      <c r="FR25" s="192"/>
      <c r="FS25" s="192"/>
      <c r="FT25" s="192"/>
      <c r="FU25" s="192"/>
      <c r="FV25" s="192"/>
      <c r="FW25" s="192"/>
      <c r="FX25" s="192"/>
      <c r="FY25" s="192"/>
      <c r="FZ25" s="192"/>
      <c r="GA25" s="192"/>
      <c r="GB25" s="192"/>
      <c r="GC25" s="192"/>
      <c r="GD25" s="192"/>
      <c r="GE25" s="192"/>
      <c r="GF25" s="192"/>
      <c r="GG25" s="192"/>
      <c r="GH25" s="192"/>
      <c r="GI25" s="192"/>
      <c r="GJ25" s="192"/>
      <c r="GK25" s="192"/>
      <c r="GL25" s="192"/>
      <c r="GM25" s="192"/>
      <c r="GN25" s="192"/>
      <c r="GO25" s="192"/>
      <c r="GP25" s="192"/>
      <c r="GQ25" s="192"/>
      <c r="GR25" s="192"/>
      <c r="GS25" s="192"/>
      <c r="GT25" s="192"/>
      <c r="GU25" s="192"/>
      <c r="GV25" s="192"/>
      <c r="GW25" s="192"/>
      <c r="GX25" s="192"/>
      <c r="GY25" s="192"/>
      <c r="GZ25" s="192"/>
      <c r="HA25" s="192"/>
      <c r="HB25" s="192"/>
      <c r="HC25" s="192"/>
      <c r="HD25" s="192"/>
      <c r="HE25" s="192"/>
      <c r="HF25" s="192"/>
      <c r="HG25" s="192"/>
      <c r="HH25" s="192"/>
      <c r="HI25" s="192"/>
      <c r="HJ25" s="192"/>
      <c r="HK25" s="192"/>
      <c r="HL25" s="192"/>
      <c r="HM25" s="192"/>
      <c r="HN25" s="192"/>
      <c r="HO25" s="192"/>
      <c r="HP25" s="192"/>
      <c r="HQ25" s="192"/>
      <c r="HR25" s="192"/>
      <c r="HS25" s="192"/>
      <c r="HT25" s="192"/>
      <c r="HU25" s="192"/>
      <c r="HV25" s="192"/>
      <c r="HW25" s="192"/>
      <c r="HX25" s="192"/>
      <c r="HY25" s="192"/>
      <c r="HZ25" s="192"/>
      <c r="IA25" s="192"/>
      <c r="IB25" s="192"/>
      <c r="IC25" s="192"/>
      <c r="ID25" s="192"/>
      <c r="IE25" s="192"/>
      <c r="IF25" s="192"/>
      <c r="IG25" s="192"/>
      <c r="IH25" s="192"/>
      <c r="II25" s="192"/>
      <c r="IJ25" s="192"/>
      <c r="IK25" s="192"/>
      <c r="IL25" s="192"/>
      <c r="IM25" s="192"/>
      <c r="IN25" s="192"/>
      <c r="IO25" s="192"/>
      <c r="IP25" s="192"/>
      <c r="IQ25" s="192"/>
      <c r="IR25" s="192"/>
      <c r="IS25" s="192"/>
      <c r="IT25" s="192"/>
      <c r="IU25" s="192"/>
      <c r="IV25" s="192"/>
    </row>
    <row r="27" spans="1:256" x14ac:dyDescent="0.25">
      <c r="A27" s="166"/>
      <c r="B27" s="166"/>
      <c r="C27" s="166"/>
      <c r="D27" s="167"/>
      <c r="E27" s="166"/>
      <c r="F27" s="167"/>
      <c r="G27" s="167"/>
      <c r="H27" s="167"/>
      <c r="I27" s="167"/>
      <c r="J27" s="167"/>
      <c r="K27" s="167"/>
      <c r="L27" s="167"/>
      <c r="M27" s="167"/>
      <c r="N27" s="167"/>
      <c r="O27" s="167"/>
      <c r="P27" s="167"/>
      <c r="Q27" s="167"/>
      <c r="R27" s="167"/>
      <c r="S27" s="167"/>
      <c r="T27" s="167"/>
      <c r="U27" s="167"/>
      <c r="V27" s="167"/>
      <c r="W27" s="167"/>
      <c r="X27" s="168"/>
      <c r="Y27" s="168"/>
      <c r="Z27" s="168"/>
      <c r="AA27" s="168"/>
      <c r="AB27" s="167"/>
      <c r="AC27" s="167"/>
      <c r="AD27" s="167"/>
      <c r="AE27" s="167"/>
      <c r="AF27" s="167"/>
      <c r="AG27" s="167"/>
      <c r="AH27" s="167"/>
      <c r="AI27" s="167"/>
      <c r="AJ27" s="167"/>
      <c r="AK27" s="167"/>
      <c r="AL27" s="167"/>
      <c r="AM27" s="167"/>
      <c r="AN27" s="167"/>
      <c r="AO27" s="167"/>
      <c r="AP27" s="167"/>
      <c r="AQ27" s="167"/>
      <c r="AR27" s="167"/>
      <c r="AS27" s="167"/>
      <c r="AT27" s="167"/>
      <c r="AU27" s="167"/>
      <c r="AV27" s="167"/>
      <c r="AW27" s="167"/>
      <c r="AX27" s="167"/>
      <c r="AY27" s="167"/>
      <c r="AZ27" s="167"/>
      <c r="BA27" s="167"/>
      <c r="BB27" s="167"/>
      <c r="BC27" s="167"/>
      <c r="BD27" s="167"/>
      <c r="BE27" s="167"/>
      <c r="BF27" s="167"/>
      <c r="BG27" s="167"/>
      <c r="BH27" s="167"/>
      <c r="BI27" s="167"/>
      <c r="BJ27" s="167"/>
      <c r="BK27" s="167"/>
      <c r="BL27" s="167"/>
      <c r="BM27" s="167"/>
      <c r="BN27" s="167"/>
      <c r="BO27" s="167"/>
      <c r="BP27" s="167"/>
      <c r="BQ27" s="167"/>
      <c r="BR27" s="167"/>
      <c r="BS27" s="167"/>
      <c r="BT27" s="167"/>
      <c r="BU27" s="167"/>
      <c r="BV27" s="167"/>
      <c r="BW27" s="167"/>
      <c r="BX27" s="167"/>
      <c r="BY27" s="167"/>
      <c r="BZ27" s="167"/>
      <c r="CA27" s="167"/>
      <c r="CB27" s="167"/>
      <c r="CC27" s="167"/>
      <c r="CD27" s="167"/>
      <c r="CE27" s="167"/>
      <c r="CF27" s="167"/>
      <c r="CG27" s="167"/>
      <c r="CH27" s="167"/>
      <c r="CI27" s="167"/>
      <c r="CJ27" s="167"/>
      <c r="CK27" s="167"/>
      <c r="CL27" s="167"/>
      <c r="CM27" s="167"/>
      <c r="CN27" s="167"/>
      <c r="CO27" s="167"/>
      <c r="CP27" s="167"/>
      <c r="CQ27" s="167"/>
      <c r="CR27" s="167"/>
      <c r="CS27" s="167"/>
      <c r="CT27" s="167"/>
      <c r="CU27" s="167"/>
      <c r="CV27" s="167"/>
      <c r="CW27" s="167"/>
      <c r="CX27" s="167"/>
      <c r="CY27" s="167"/>
      <c r="CZ27" s="167"/>
      <c r="DA27" s="167"/>
      <c r="DB27" s="167"/>
      <c r="DC27" s="167"/>
      <c r="DD27" s="167"/>
      <c r="DE27" s="167"/>
      <c r="DF27" s="167"/>
      <c r="DG27" s="167"/>
      <c r="DH27" s="167"/>
      <c r="DI27" s="167"/>
      <c r="DJ27" s="167"/>
      <c r="DK27" s="167"/>
      <c r="DL27" s="167"/>
      <c r="DM27" s="167"/>
      <c r="DN27" s="167"/>
      <c r="DO27" s="167"/>
      <c r="DP27" s="167"/>
      <c r="DQ27" s="167"/>
      <c r="DR27" s="167"/>
      <c r="DS27" s="167"/>
      <c r="DT27" s="167"/>
      <c r="DU27" s="167"/>
      <c r="DV27" s="167"/>
      <c r="DW27" s="167"/>
      <c r="DX27" s="167"/>
      <c r="DY27" s="167"/>
      <c r="DZ27" s="167"/>
      <c r="EA27" s="167"/>
      <c r="EB27" s="167"/>
      <c r="EC27" s="167"/>
      <c r="ED27" s="167"/>
      <c r="EE27" s="167"/>
      <c r="EF27" s="167"/>
      <c r="EG27" s="167"/>
      <c r="EH27" s="167"/>
      <c r="EI27" s="167"/>
      <c r="EJ27" s="167"/>
      <c r="EK27" s="167"/>
      <c r="EL27" s="167"/>
      <c r="EM27" s="167"/>
      <c r="EN27" s="167"/>
      <c r="EO27" s="167"/>
      <c r="EP27" s="167"/>
      <c r="EQ27" s="167"/>
      <c r="ER27" s="167"/>
      <c r="ES27" s="167"/>
      <c r="ET27" s="167"/>
      <c r="EU27" s="167"/>
      <c r="EV27" s="167"/>
      <c r="EW27" s="167"/>
      <c r="EX27" s="167"/>
      <c r="EY27" s="167"/>
      <c r="EZ27" s="167"/>
      <c r="FA27" s="167"/>
      <c r="FB27" s="167"/>
      <c r="FC27" s="167"/>
      <c r="FD27" s="167"/>
      <c r="FE27" s="167"/>
      <c r="FF27" s="167"/>
      <c r="FG27" s="167"/>
      <c r="FH27" s="167"/>
      <c r="FI27" s="167"/>
      <c r="FJ27" s="167"/>
      <c r="FK27" s="167"/>
      <c r="FL27" s="167"/>
      <c r="FM27" s="167"/>
      <c r="FN27" s="167"/>
      <c r="FO27" s="167"/>
      <c r="FP27" s="167"/>
      <c r="FQ27" s="167"/>
      <c r="FR27" s="167"/>
      <c r="FS27" s="167"/>
      <c r="FT27" s="167"/>
      <c r="FU27" s="167"/>
      <c r="FV27" s="167"/>
      <c r="FW27" s="167"/>
      <c r="FX27" s="167"/>
      <c r="FY27" s="167"/>
      <c r="FZ27" s="167"/>
      <c r="GA27" s="167"/>
      <c r="GB27" s="167"/>
      <c r="GC27" s="167"/>
      <c r="GD27" s="167"/>
      <c r="GE27" s="167"/>
      <c r="GF27" s="167"/>
      <c r="GG27" s="167"/>
      <c r="GH27" s="167"/>
      <c r="GI27" s="167"/>
      <c r="GJ27" s="167"/>
      <c r="GK27" s="167"/>
      <c r="GL27" s="167"/>
      <c r="GM27" s="167"/>
      <c r="GN27" s="167"/>
      <c r="GO27" s="167"/>
      <c r="GP27" s="167"/>
      <c r="GQ27" s="167"/>
      <c r="GR27" s="167"/>
      <c r="GS27" s="167"/>
      <c r="GT27" s="167"/>
      <c r="GU27" s="167"/>
      <c r="GV27" s="167"/>
      <c r="GW27" s="167"/>
      <c r="GX27" s="167"/>
      <c r="GY27" s="167"/>
      <c r="GZ27" s="167"/>
      <c r="HA27" s="167"/>
      <c r="HB27" s="167"/>
      <c r="HC27" s="167"/>
      <c r="HD27" s="167"/>
      <c r="HE27" s="167"/>
      <c r="HF27" s="167"/>
      <c r="HG27" s="167"/>
      <c r="HH27" s="167"/>
      <c r="HI27" s="167"/>
      <c r="HJ27" s="167"/>
      <c r="HK27" s="167"/>
      <c r="HL27" s="167"/>
      <c r="HM27" s="167"/>
      <c r="HN27" s="167"/>
      <c r="HO27" s="167"/>
      <c r="HP27" s="167"/>
      <c r="HQ27" s="167"/>
      <c r="HR27" s="167"/>
      <c r="HS27" s="167"/>
      <c r="HT27" s="167"/>
      <c r="HU27" s="167"/>
      <c r="HV27" s="167"/>
      <c r="HW27" s="167"/>
      <c r="HX27" s="167"/>
      <c r="HY27" s="167"/>
      <c r="HZ27" s="167"/>
      <c r="IA27" s="167"/>
      <c r="IB27" s="167"/>
      <c r="IC27" s="167"/>
      <c r="ID27" s="167"/>
      <c r="IE27" s="167"/>
      <c r="IF27" s="167"/>
      <c r="IG27" s="167"/>
      <c r="IH27" s="167"/>
      <c r="II27" s="167"/>
      <c r="IJ27" s="167"/>
      <c r="IK27" s="167"/>
      <c r="IL27" s="167"/>
      <c r="IM27" s="167"/>
      <c r="IN27" s="167"/>
      <c r="IO27" s="167"/>
      <c r="IP27" s="167"/>
      <c r="IQ27" s="167"/>
      <c r="IR27" s="167"/>
      <c r="IS27" s="167"/>
      <c r="IT27" s="167"/>
      <c r="IU27" s="167"/>
      <c r="IV27" s="167"/>
    </row>
    <row r="28" spans="1:256" x14ac:dyDescent="0.25">
      <c r="A28" s="166"/>
      <c r="B28" s="166"/>
      <c r="C28" s="166"/>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c r="BI28" s="167"/>
      <c r="BJ28" s="167"/>
      <c r="BK28" s="167"/>
      <c r="BL28" s="167"/>
      <c r="BM28" s="167"/>
      <c r="BN28" s="167"/>
      <c r="BO28" s="167"/>
      <c r="BP28" s="167"/>
      <c r="BQ28" s="167"/>
      <c r="BR28" s="167"/>
      <c r="BS28" s="167"/>
      <c r="BT28" s="167"/>
      <c r="BU28" s="167"/>
      <c r="BV28" s="167"/>
      <c r="BW28" s="167"/>
      <c r="BX28" s="167"/>
      <c r="BY28" s="167"/>
      <c r="BZ28" s="167"/>
      <c r="CA28" s="167"/>
      <c r="CB28" s="167"/>
      <c r="CC28" s="167"/>
      <c r="CD28" s="167"/>
      <c r="CE28" s="167"/>
      <c r="CF28" s="167"/>
      <c r="CG28" s="167"/>
      <c r="CH28" s="167"/>
      <c r="CI28" s="167"/>
      <c r="CJ28" s="167"/>
      <c r="CK28" s="167"/>
      <c r="CL28" s="167"/>
      <c r="CM28" s="167"/>
      <c r="CN28" s="167"/>
      <c r="CO28" s="167"/>
      <c r="CP28" s="167"/>
      <c r="CQ28" s="167"/>
      <c r="CR28" s="167"/>
      <c r="CS28" s="167"/>
      <c r="CT28" s="167"/>
      <c r="CU28" s="167"/>
      <c r="CV28" s="167"/>
      <c r="CW28" s="167"/>
      <c r="CX28" s="167"/>
      <c r="CY28" s="167"/>
      <c r="CZ28" s="167"/>
      <c r="DA28" s="167"/>
      <c r="DB28" s="167"/>
      <c r="DC28" s="167"/>
      <c r="DD28" s="167"/>
      <c r="DE28" s="167"/>
      <c r="DF28" s="167"/>
      <c r="DG28" s="167"/>
      <c r="DH28" s="167"/>
      <c r="DI28" s="167"/>
      <c r="DJ28" s="167"/>
      <c r="DK28" s="167"/>
      <c r="DL28" s="167"/>
      <c r="DM28" s="167"/>
      <c r="DN28" s="167"/>
      <c r="DO28" s="167"/>
      <c r="DP28" s="167"/>
      <c r="DQ28" s="167"/>
      <c r="DR28" s="167"/>
      <c r="DS28" s="167"/>
      <c r="DT28" s="167"/>
      <c r="DU28" s="167"/>
      <c r="DV28" s="167"/>
      <c r="DW28" s="167"/>
      <c r="DX28" s="167"/>
      <c r="DY28" s="167"/>
      <c r="DZ28" s="167"/>
      <c r="EA28" s="167"/>
      <c r="EB28" s="167"/>
      <c r="EC28" s="167"/>
      <c r="ED28" s="167"/>
      <c r="EE28" s="167"/>
      <c r="EF28" s="167"/>
      <c r="EG28" s="167"/>
      <c r="EH28" s="167"/>
      <c r="EI28" s="167"/>
      <c r="EJ28" s="167"/>
      <c r="EK28" s="167"/>
      <c r="EL28" s="167"/>
      <c r="EM28" s="167"/>
      <c r="EN28" s="167"/>
      <c r="EO28" s="167"/>
      <c r="EP28" s="167"/>
      <c r="EQ28" s="167"/>
      <c r="ER28" s="167"/>
      <c r="ES28" s="167"/>
      <c r="ET28" s="167"/>
      <c r="EU28" s="167"/>
      <c r="EV28" s="167"/>
      <c r="EW28" s="167"/>
      <c r="EX28" s="167"/>
      <c r="EY28" s="167"/>
      <c r="EZ28" s="167"/>
      <c r="FA28" s="167"/>
      <c r="FB28" s="167"/>
      <c r="FC28" s="167"/>
      <c r="FD28" s="167"/>
      <c r="FE28" s="167"/>
      <c r="FF28" s="167"/>
      <c r="FG28" s="167"/>
      <c r="FH28" s="167"/>
      <c r="FI28" s="167"/>
      <c r="FJ28" s="167"/>
      <c r="FK28" s="167"/>
      <c r="FL28" s="167"/>
      <c r="FM28" s="167"/>
      <c r="FN28" s="167"/>
      <c r="FO28" s="167"/>
      <c r="FP28" s="167"/>
      <c r="FQ28" s="167"/>
      <c r="FR28" s="167"/>
      <c r="FS28" s="167"/>
      <c r="FT28" s="167"/>
      <c r="FU28" s="167"/>
      <c r="FV28" s="167"/>
      <c r="FW28" s="167"/>
      <c r="FX28" s="167"/>
      <c r="FY28" s="167"/>
      <c r="FZ28" s="167"/>
      <c r="GA28" s="167"/>
      <c r="GB28" s="167"/>
      <c r="GC28" s="167"/>
      <c r="GD28" s="167"/>
      <c r="GE28" s="167"/>
      <c r="GF28" s="167"/>
      <c r="GG28" s="167"/>
      <c r="GH28" s="167"/>
      <c r="GI28" s="167"/>
      <c r="GJ28" s="167"/>
      <c r="GK28" s="167"/>
      <c r="GL28" s="167"/>
      <c r="GM28" s="167"/>
      <c r="GN28" s="167"/>
      <c r="GO28" s="167"/>
      <c r="GP28" s="167"/>
      <c r="GQ28" s="167"/>
      <c r="GR28" s="167"/>
      <c r="GS28" s="167"/>
      <c r="GT28" s="167"/>
      <c r="GU28" s="167"/>
      <c r="GV28" s="167"/>
      <c r="GW28" s="167"/>
      <c r="GX28" s="167"/>
      <c r="GY28" s="167"/>
      <c r="GZ28" s="167"/>
      <c r="HA28" s="167"/>
      <c r="HB28" s="167"/>
      <c r="HC28" s="167"/>
      <c r="HD28" s="167"/>
      <c r="HE28" s="167"/>
      <c r="HF28" s="167"/>
      <c r="HG28" s="167"/>
      <c r="HH28" s="167"/>
      <c r="HI28" s="167"/>
      <c r="HJ28" s="167"/>
      <c r="HK28" s="167"/>
      <c r="HL28" s="167"/>
      <c r="HM28" s="167"/>
      <c r="HN28" s="167"/>
      <c r="HO28" s="167"/>
      <c r="HP28" s="167"/>
      <c r="HQ28" s="167"/>
      <c r="HR28" s="167"/>
      <c r="HS28" s="167"/>
      <c r="HT28" s="167"/>
      <c r="HU28" s="167"/>
      <c r="HV28" s="167"/>
      <c r="HW28" s="167"/>
      <c r="HX28" s="167"/>
      <c r="HY28" s="167"/>
      <c r="HZ28" s="167"/>
      <c r="IA28" s="167"/>
      <c r="IB28" s="167"/>
      <c r="IC28" s="167"/>
      <c r="ID28" s="167"/>
      <c r="IE28" s="167"/>
      <c r="IF28" s="167"/>
      <c r="IG28" s="167"/>
      <c r="IH28" s="167"/>
      <c r="II28" s="167"/>
      <c r="IJ28" s="167"/>
      <c r="IK28" s="167"/>
      <c r="IL28" s="167"/>
      <c r="IM28" s="167"/>
      <c r="IN28" s="167"/>
      <c r="IO28" s="167"/>
      <c r="IP28" s="167"/>
      <c r="IQ28" s="167"/>
      <c r="IR28" s="167"/>
      <c r="IS28" s="167"/>
      <c r="IT28" s="167"/>
      <c r="IU28" s="167"/>
      <c r="IV28" s="167"/>
    </row>
  </sheetData>
  <mergeCells count="27">
    <mergeCell ref="E13:Y13"/>
    <mergeCell ref="M21:N22"/>
    <mergeCell ref="O21:P22"/>
    <mergeCell ref="E18:Y18"/>
    <mergeCell ref="E15:Y15"/>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1"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70" zoomScaleNormal="70" workbookViewId="0">
      <selection activeCell="C28" sqref="C28:C30"/>
    </sheetView>
  </sheetViews>
  <sheetFormatPr defaultRowHeight="15" x14ac:dyDescent="0.25"/>
  <cols>
    <col min="1" max="1" width="6.140625" style="136" customWidth="1"/>
    <col min="2" max="2" width="53.5703125" style="136" customWidth="1"/>
    <col min="3" max="3" width="98.28515625" style="136" customWidth="1"/>
    <col min="4" max="4" width="14.42578125" style="136" customWidth="1"/>
    <col min="5" max="5" width="36.5703125" style="136" customWidth="1"/>
    <col min="6" max="6" width="20" style="136" customWidth="1"/>
    <col min="7" max="7" width="25.5703125" style="136" customWidth="1"/>
    <col min="8" max="8" width="16.42578125" style="136" customWidth="1"/>
    <col min="9" max="16384" width="9.140625" style="136"/>
  </cols>
  <sheetData>
    <row r="1" spans="1:29" s="2" customFormat="1" ht="18.75" customHeight="1" x14ac:dyDescent="0.2">
      <c r="A1" s="38"/>
      <c r="C1" s="40" t="s">
        <v>23</v>
      </c>
    </row>
    <row r="2" spans="1:29" s="2" customFormat="1" ht="18.75" customHeight="1" x14ac:dyDescent="0.3">
      <c r="A2" s="38"/>
      <c r="C2" s="41" t="s">
        <v>7</v>
      </c>
    </row>
    <row r="3" spans="1:29" s="2" customFormat="1" ht="18.75" x14ac:dyDescent="0.3">
      <c r="A3" s="145"/>
      <c r="C3" s="41" t="s">
        <v>22</v>
      </c>
    </row>
    <row r="4" spans="1:29" s="2" customFormat="1" ht="18.75" x14ac:dyDescent="0.3">
      <c r="A4" s="145"/>
      <c r="C4" s="41"/>
    </row>
    <row r="5" spans="1:29" s="2" customFormat="1" ht="15.75" x14ac:dyDescent="0.2">
      <c r="A5" s="209" t="str">
        <f>'1. паспорт местоположение'!$A$5</f>
        <v>Год раскрытия информации: 2019 год</v>
      </c>
      <c r="B5" s="209"/>
      <c r="C5" s="209"/>
      <c r="D5" s="37"/>
      <c r="E5" s="37"/>
      <c r="F5" s="37"/>
      <c r="G5" s="37"/>
      <c r="H5" s="37"/>
      <c r="I5" s="37"/>
      <c r="J5" s="37"/>
      <c r="K5" s="37"/>
      <c r="L5" s="37"/>
      <c r="M5" s="37"/>
      <c r="N5" s="37"/>
      <c r="O5" s="37"/>
      <c r="P5" s="37"/>
      <c r="Q5" s="37"/>
      <c r="R5" s="37"/>
      <c r="S5" s="37"/>
      <c r="T5" s="37"/>
      <c r="U5" s="37"/>
      <c r="V5" s="37"/>
      <c r="W5" s="37"/>
      <c r="X5" s="37"/>
      <c r="Y5" s="37"/>
      <c r="Z5" s="37"/>
      <c r="AA5" s="37"/>
      <c r="AB5" s="37"/>
      <c r="AC5" s="37"/>
    </row>
    <row r="6" spans="1:29" s="2" customFormat="1" ht="18.75" x14ac:dyDescent="0.3">
      <c r="A6" s="145"/>
      <c r="G6" s="41"/>
    </row>
    <row r="7" spans="1:29" s="2" customFormat="1" ht="18.75" x14ac:dyDescent="0.2">
      <c r="A7" s="213" t="s">
        <v>6</v>
      </c>
      <c r="B7" s="213"/>
      <c r="C7" s="213"/>
      <c r="D7" s="95"/>
      <c r="E7" s="95"/>
      <c r="F7" s="95"/>
      <c r="G7" s="95"/>
      <c r="H7" s="95"/>
      <c r="I7" s="95"/>
      <c r="J7" s="95"/>
      <c r="K7" s="95"/>
      <c r="L7" s="95"/>
      <c r="M7" s="95"/>
      <c r="N7" s="95"/>
      <c r="O7" s="95"/>
      <c r="P7" s="95"/>
      <c r="Q7" s="95"/>
      <c r="R7" s="95"/>
      <c r="S7" s="95"/>
      <c r="T7" s="95"/>
      <c r="U7" s="95"/>
    </row>
    <row r="8" spans="1:29" s="2" customFormat="1" ht="18.75" x14ac:dyDescent="0.2">
      <c r="A8" s="213"/>
      <c r="B8" s="213"/>
      <c r="C8" s="213"/>
      <c r="D8" s="146"/>
      <c r="E8" s="146"/>
      <c r="F8" s="146"/>
      <c r="G8" s="146"/>
      <c r="H8" s="95"/>
      <c r="I8" s="95"/>
      <c r="J8" s="95"/>
      <c r="K8" s="95"/>
      <c r="L8" s="95"/>
      <c r="M8" s="95"/>
      <c r="N8" s="95"/>
      <c r="O8" s="95"/>
      <c r="P8" s="95"/>
      <c r="Q8" s="95"/>
      <c r="R8" s="95"/>
      <c r="S8" s="95"/>
      <c r="T8" s="95"/>
      <c r="U8" s="95"/>
    </row>
    <row r="9" spans="1:29" s="2" customFormat="1" ht="18.75" x14ac:dyDescent="0.2">
      <c r="A9" s="214" t="s">
        <v>252</v>
      </c>
      <c r="B9" s="214"/>
      <c r="C9" s="214"/>
      <c r="D9" s="98"/>
      <c r="E9" s="98"/>
      <c r="F9" s="98"/>
      <c r="G9" s="98"/>
      <c r="H9" s="95"/>
      <c r="I9" s="95"/>
      <c r="J9" s="95"/>
      <c r="K9" s="95"/>
      <c r="L9" s="95"/>
      <c r="M9" s="95"/>
      <c r="N9" s="95"/>
      <c r="O9" s="95"/>
      <c r="P9" s="95"/>
      <c r="Q9" s="95"/>
      <c r="R9" s="95"/>
      <c r="S9" s="95"/>
      <c r="T9" s="95"/>
      <c r="U9" s="95"/>
    </row>
    <row r="10" spans="1:29" s="2" customFormat="1" ht="18.75" x14ac:dyDescent="0.2">
      <c r="A10" s="215" t="s">
        <v>5</v>
      </c>
      <c r="B10" s="215"/>
      <c r="C10" s="215"/>
      <c r="D10" s="99"/>
      <c r="E10" s="99"/>
      <c r="F10" s="99"/>
      <c r="G10" s="99"/>
      <c r="H10" s="95"/>
      <c r="I10" s="95"/>
      <c r="J10" s="95"/>
      <c r="K10" s="95"/>
      <c r="L10" s="95"/>
      <c r="M10" s="95"/>
      <c r="N10" s="95"/>
      <c r="O10" s="95"/>
      <c r="P10" s="95"/>
      <c r="Q10" s="95"/>
      <c r="R10" s="95"/>
      <c r="S10" s="95"/>
      <c r="T10" s="95"/>
      <c r="U10" s="95"/>
    </row>
    <row r="11" spans="1:29" s="2" customFormat="1" ht="18.75" x14ac:dyDescent="0.2">
      <c r="A11" s="213"/>
      <c r="B11" s="213"/>
      <c r="C11" s="213"/>
      <c r="D11" s="146"/>
      <c r="E11" s="146"/>
      <c r="F11" s="146"/>
      <c r="G11" s="146"/>
      <c r="H11" s="95"/>
      <c r="I11" s="95"/>
      <c r="J11" s="95"/>
      <c r="K11" s="95"/>
      <c r="L11" s="95"/>
      <c r="M11" s="95"/>
      <c r="N11" s="95"/>
      <c r="O11" s="95"/>
      <c r="P11" s="95"/>
      <c r="Q11" s="95"/>
      <c r="R11" s="95"/>
      <c r="S11" s="95"/>
      <c r="T11" s="95"/>
      <c r="U11" s="95"/>
    </row>
    <row r="12" spans="1:29" s="2" customFormat="1" ht="18.75" x14ac:dyDescent="0.2">
      <c r="A12" s="214" t="str">
        <f>'3.1. паспорт Техсостояние ПС'!A13:T13</f>
        <v>I_Che134</v>
      </c>
      <c r="B12" s="214"/>
      <c r="C12" s="214"/>
      <c r="D12" s="98"/>
      <c r="E12" s="98"/>
      <c r="F12" s="98"/>
      <c r="G12" s="98"/>
      <c r="H12" s="95"/>
      <c r="I12" s="95"/>
      <c r="J12" s="95"/>
      <c r="K12" s="95"/>
      <c r="L12" s="95"/>
      <c r="M12" s="95"/>
      <c r="N12" s="95"/>
      <c r="O12" s="95"/>
      <c r="P12" s="95"/>
      <c r="Q12" s="95"/>
      <c r="R12" s="95"/>
      <c r="S12" s="95"/>
      <c r="T12" s="95"/>
      <c r="U12" s="95"/>
    </row>
    <row r="13" spans="1:29" s="2" customFormat="1" ht="18.75" x14ac:dyDescent="0.2">
      <c r="A13" s="215" t="s">
        <v>4</v>
      </c>
      <c r="B13" s="215"/>
      <c r="C13" s="215"/>
      <c r="D13" s="99"/>
      <c r="E13" s="99"/>
      <c r="F13" s="99"/>
      <c r="G13" s="99"/>
      <c r="H13" s="95"/>
      <c r="I13" s="95"/>
      <c r="J13" s="95"/>
      <c r="K13" s="95"/>
      <c r="L13" s="95"/>
      <c r="M13" s="95"/>
      <c r="N13" s="95"/>
      <c r="O13" s="95"/>
      <c r="P13" s="95"/>
      <c r="Q13" s="95"/>
      <c r="R13" s="95"/>
      <c r="S13" s="95"/>
      <c r="T13" s="95"/>
      <c r="U13" s="95"/>
    </row>
    <row r="14" spans="1:29" s="147" customFormat="1" ht="15.75" customHeight="1" x14ac:dyDescent="0.2">
      <c r="A14" s="245"/>
      <c r="B14" s="245"/>
      <c r="C14" s="245"/>
      <c r="D14" s="85"/>
      <c r="E14" s="85"/>
      <c r="F14" s="85"/>
      <c r="G14" s="85"/>
      <c r="H14" s="85"/>
      <c r="I14" s="85"/>
      <c r="J14" s="85"/>
      <c r="K14" s="85"/>
      <c r="L14" s="85"/>
      <c r="M14" s="85"/>
      <c r="N14" s="85"/>
      <c r="O14" s="85"/>
      <c r="P14" s="85"/>
      <c r="Q14" s="85"/>
      <c r="R14" s="85"/>
      <c r="S14" s="85"/>
      <c r="T14" s="85"/>
      <c r="U14" s="85"/>
    </row>
    <row r="15" spans="1:29" s="148" customFormat="1" ht="36.75" customHeight="1" x14ac:dyDescent="0.2">
      <c r="A15" s="216"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16"/>
      <c r="C15" s="216"/>
      <c r="D15" s="98"/>
      <c r="E15" s="98"/>
      <c r="F15" s="98"/>
      <c r="G15" s="98"/>
      <c r="H15" s="98"/>
      <c r="I15" s="98"/>
      <c r="J15" s="98"/>
      <c r="K15" s="98"/>
      <c r="L15" s="98"/>
      <c r="M15" s="98"/>
      <c r="N15" s="98"/>
      <c r="O15" s="98"/>
      <c r="P15" s="98"/>
      <c r="Q15" s="98"/>
      <c r="R15" s="98"/>
      <c r="S15" s="98"/>
      <c r="T15" s="98"/>
      <c r="U15" s="98"/>
    </row>
    <row r="16" spans="1:29" s="148" customFormat="1" ht="15" customHeight="1" x14ac:dyDescent="0.2">
      <c r="A16" s="215" t="s">
        <v>3</v>
      </c>
      <c r="B16" s="215"/>
      <c r="C16" s="215"/>
      <c r="D16" s="99"/>
      <c r="E16" s="99"/>
      <c r="F16" s="99"/>
      <c r="G16" s="99"/>
      <c r="H16" s="99"/>
      <c r="I16" s="99"/>
      <c r="J16" s="99"/>
      <c r="K16" s="99"/>
      <c r="L16" s="99"/>
      <c r="M16" s="99"/>
      <c r="N16" s="99"/>
      <c r="O16" s="99"/>
      <c r="P16" s="99"/>
      <c r="Q16" s="99"/>
      <c r="R16" s="99"/>
      <c r="S16" s="99"/>
      <c r="T16" s="99"/>
      <c r="U16" s="99"/>
    </row>
    <row r="17" spans="1:21" s="148" customFormat="1" ht="15" customHeight="1" x14ac:dyDescent="0.2">
      <c r="A17" s="246"/>
      <c r="B17" s="246"/>
      <c r="C17" s="246"/>
      <c r="D17" s="149"/>
      <c r="E17" s="149"/>
      <c r="F17" s="149"/>
      <c r="G17" s="149"/>
      <c r="H17" s="149"/>
      <c r="I17" s="149"/>
      <c r="J17" s="149"/>
      <c r="K17" s="149"/>
      <c r="L17" s="149"/>
      <c r="M17" s="149"/>
      <c r="N17" s="149"/>
      <c r="O17" s="149"/>
      <c r="P17" s="149"/>
      <c r="Q17" s="149"/>
      <c r="R17" s="149"/>
    </row>
    <row r="18" spans="1:21" s="148" customFormat="1" ht="27.75" customHeight="1" x14ac:dyDescent="0.2">
      <c r="A18" s="247" t="s">
        <v>238</v>
      </c>
      <c r="B18" s="247"/>
      <c r="C18" s="247"/>
      <c r="D18" s="150"/>
      <c r="E18" s="150"/>
      <c r="F18" s="150"/>
      <c r="G18" s="150"/>
      <c r="H18" s="150"/>
      <c r="I18" s="150"/>
      <c r="J18" s="150"/>
      <c r="K18" s="150"/>
      <c r="L18" s="150"/>
      <c r="M18" s="150"/>
      <c r="N18" s="150"/>
      <c r="O18" s="150"/>
      <c r="P18" s="150"/>
      <c r="Q18" s="150"/>
      <c r="R18" s="150"/>
      <c r="S18" s="150"/>
      <c r="T18" s="150"/>
      <c r="U18" s="150"/>
    </row>
    <row r="19" spans="1:21" s="148" customFormat="1" ht="15" customHeight="1" x14ac:dyDescent="0.2">
      <c r="A19" s="99"/>
      <c r="B19" s="99"/>
      <c r="C19" s="99"/>
      <c r="D19" s="99"/>
      <c r="E19" s="99"/>
      <c r="F19" s="99"/>
      <c r="G19" s="99"/>
      <c r="H19" s="149"/>
      <c r="I19" s="149"/>
      <c r="J19" s="149"/>
      <c r="K19" s="149"/>
      <c r="L19" s="149"/>
      <c r="M19" s="149"/>
      <c r="N19" s="149"/>
      <c r="O19" s="149"/>
      <c r="P19" s="149"/>
      <c r="Q19" s="149"/>
      <c r="R19" s="149"/>
    </row>
    <row r="20" spans="1:21" s="148" customFormat="1" ht="39.75" customHeight="1" x14ac:dyDescent="0.2">
      <c r="A20" s="151" t="s">
        <v>2</v>
      </c>
      <c r="B20" s="152" t="s">
        <v>21</v>
      </c>
      <c r="C20" s="153" t="s">
        <v>20</v>
      </c>
      <c r="D20" s="154"/>
      <c r="E20" s="154"/>
      <c r="F20" s="154"/>
      <c r="G20" s="154"/>
      <c r="H20" s="85"/>
      <c r="I20" s="85"/>
      <c r="J20" s="85"/>
      <c r="K20" s="85"/>
      <c r="L20" s="85"/>
      <c r="M20" s="85"/>
      <c r="N20" s="85"/>
      <c r="O20" s="85"/>
      <c r="P20" s="85"/>
      <c r="Q20" s="85"/>
      <c r="R20" s="85"/>
      <c r="S20" s="155"/>
      <c r="T20" s="155"/>
      <c r="U20" s="155"/>
    </row>
    <row r="21" spans="1:21" s="148" customFormat="1" ht="16.5" customHeight="1" x14ac:dyDescent="0.2">
      <c r="A21" s="153">
        <v>1</v>
      </c>
      <c r="B21" s="152">
        <v>2</v>
      </c>
      <c r="C21" s="153">
        <v>3</v>
      </c>
      <c r="D21" s="154"/>
      <c r="E21" s="154"/>
      <c r="F21" s="154"/>
      <c r="G21" s="154"/>
      <c r="H21" s="85"/>
      <c r="I21" s="85"/>
      <c r="J21" s="85"/>
      <c r="K21" s="85"/>
      <c r="L21" s="85"/>
      <c r="M21" s="85"/>
      <c r="N21" s="85"/>
      <c r="O21" s="85"/>
      <c r="P21" s="85"/>
      <c r="Q21" s="85"/>
      <c r="R21" s="85"/>
      <c r="S21" s="155"/>
      <c r="T21" s="155"/>
      <c r="U21" s="155"/>
    </row>
    <row r="22" spans="1:21" s="148" customFormat="1" ht="42.75" customHeight="1" x14ac:dyDescent="0.2">
      <c r="A22" s="3" t="s">
        <v>19</v>
      </c>
      <c r="B22" s="4" t="s">
        <v>242</v>
      </c>
      <c r="C22" s="156" t="s">
        <v>486</v>
      </c>
      <c r="D22" s="154"/>
      <c r="E22" s="154"/>
      <c r="F22" s="85"/>
      <c r="G22" s="85"/>
      <c r="H22" s="85"/>
      <c r="I22" s="85"/>
      <c r="J22" s="85"/>
      <c r="K22" s="85"/>
      <c r="L22" s="85"/>
      <c r="M22" s="85"/>
      <c r="N22" s="85"/>
      <c r="O22" s="85"/>
      <c r="P22" s="85"/>
      <c r="Q22" s="155"/>
      <c r="R22" s="155"/>
      <c r="S22" s="155"/>
      <c r="T22" s="155"/>
      <c r="U22" s="155"/>
    </row>
    <row r="23" spans="1:21" ht="31.5" x14ac:dyDescent="0.25">
      <c r="A23" s="3" t="s">
        <v>18</v>
      </c>
      <c r="B23" s="157" t="s">
        <v>15</v>
      </c>
      <c r="C23" s="151" t="s">
        <v>487</v>
      </c>
      <c r="D23" s="135"/>
      <c r="E23" s="135"/>
      <c r="F23" s="135"/>
      <c r="G23" s="135"/>
      <c r="H23" s="135"/>
      <c r="I23" s="135"/>
      <c r="J23" s="135"/>
      <c r="K23" s="135"/>
      <c r="L23" s="135"/>
      <c r="M23" s="135"/>
      <c r="N23" s="135"/>
      <c r="O23" s="135"/>
      <c r="P23" s="135"/>
      <c r="Q23" s="135"/>
      <c r="R23" s="135"/>
      <c r="S23" s="135"/>
      <c r="T23" s="135"/>
      <c r="U23" s="135"/>
    </row>
    <row r="24" spans="1:21" ht="87" customHeight="1" x14ac:dyDescent="0.25">
      <c r="A24" s="3" t="s">
        <v>17</v>
      </c>
      <c r="B24" s="157" t="s">
        <v>247</v>
      </c>
      <c r="C24" s="6" t="s">
        <v>457</v>
      </c>
      <c r="D24" s="135"/>
      <c r="E24" s="135"/>
      <c r="F24" s="135"/>
      <c r="G24" s="135"/>
      <c r="H24" s="135"/>
      <c r="I24" s="135"/>
      <c r="J24" s="135"/>
      <c r="K24" s="135"/>
      <c r="L24" s="135"/>
      <c r="M24" s="135"/>
      <c r="N24" s="135"/>
      <c r="O24" s="135"/>
      <c r="P24" s="135"/>
      <c r="Q24" s="135"/>
      <c r="R24" s="135"/>
      <c r="S24" s="135"/>
      <c r="T24" s="135"/>
      <c r="U24" s="135"/>
    </row>
    <row r="25" spans="1:21" ht="63" customHeight="1" x14ac:dyDescent="0.25">
      <c r="A25" s="3" t="s">
        <v>16</v>
      </c>
      <c r="B25" s="157" t="s">
        <v>248</v>
      </c>
      <c r="C25" s="158" t="s">
        <v>488</v>
      </c>
      <c r="D25" s="159" t="str">
        <f>IF(('6.2. Паспорт фин осв ввод'!D54)&gt;0,(ROUND(('6.2. Паспорт фин осв ввод'!D52/'6.2. Паспорт фин осв ввод'!D54),2)&amp;"млн.руб./МВА "),"-")</f>
        <v>-</v>
      </c>
      <c r="E25" s="160" t="str">
        <f>IF(('6.2. Паспорт фин осв ввод'!D56)&gt;0,(ROUND(('6.2. Паспорт фин осв ввод'!D52/'6.2. Паспорт фин осв ввод'!D56),2)&amp;" млн.руб./км"),"-")</f>
        <v>-</v>
      </c>
      <c r="F25" s="135"/>
      <c r="G25" s="135"/>
      <c r="H25" s="135"/>
      <c r="I25" s="135"/>
      <c r="J25" s="135"/>
      <c r="K25" s="135"/>
      <c r="L25" s="135"/>
      <c r="M25" s="135"/>
      <c r="N25" s="135"/>
      <c r="O25" s="135"/>
      <c r="P25" s="135"/>
      <c r="Q25" s="135"/>
      <c r="R25" s="135"/>
      <c r="S25" s="135"/>
      <c r="T25" s="135"/>
      <c r="U25" s="135"/>
    </row>
    <row r="26" spans="1:21" ht="42.75" customHeight="1" x14ac:dyDescent="0.25">
      <c r="A26" s="3" t="s">
        <v>14</v>
      </c>
      <c r="B26" s="157" t="s">
        <v>138</v>
      </c>
      <c r="C26" s="151" t="s">
        <v>335</v>
      </c>
      <c r="D26" s="135"/>
      <c r="E26" s="135"/>
      <c r="F26" s="135"/>
      <c r="G26" s="135"/>
      <c r="H26" s="135"/>
      <c r="I26" s="135"/>
      <c r="J26" s="135"/>
      <c r="K26" s="135"/>
      <c r="L26" s="135"/>
      <c r="M26" s="135"/>
      <c r="N26" s="135"/>
      <c r="O26" s="135"/>
      <c r="P26" s="135"/>
      <c r="Q26" s="135"/>
      <c r="R26" s="135"/>
      <c r="S26" s="135"/>
      <c r="T26" s="135"/>
      <c r="U26" s="135"/>
    </row>
    <row r="27" spans="1:21" ht="42.75" customHeight="1" x14ac:dyDescent="0.25">
      <c r="A27" s="3" t="s">
        <v>13</v>
      </c>
      <c r="B27" s="157" t="s">
        <v>243</v>
      </c>
      <c r="C27" s="151" t="s">
        <v>289</v>
      </c>
      <c r="D27" s="135"/>
      <c r="E27" s="135"/>
      <c r="F27" s="135"/>
      <c r="G27" s="135"/>
      <c r="H27" s="135"/>
      <c r="I27" s="135"/>
      <c r="J27" s="135"/>
      <c r="K27" s="135"/>
      <c r="L27" s="135"/>
      <c r="M27" s="135"/>
      <c r="N27" s="135"/>
      <c r="O27" s="135"/>
      <c r="P27" s="135"/>
      <c r="Q27" s="135"/>
      <c r="R27" s="135"/>
      <c r="S27" s="135"/>
      <c r="T27" s="135"/>
      <c r="U27" s="135"/>
    </row>
    <row r="28" spans="1:21" ht="42.75" customHeight="1" x14ac:dyDescent="0.25">
      <c r="A28" s="3" t="s">
        <v>11</v>
      </c>
      <c r="B28" s="157" t="s">
        <v>12</v>
      </c>
      <c r="C28" s="73">
        <f>VLOOKUP($A$12,'[1]6.2. отчет'!$D:$OP,399,0)</f>
        <v>2019</v>
      </c>
      <c r="D28" s="135"/>
      <c r="E28" s="135"/>
      <c r="F28" s="135"/>
      <c r="G28" s="135"/>
      <c r="H28" s="135"/>
      <c r="I28" s="135"/>
      <c r="J28" s="135"/>
      <c r="K28" s="135"/>
      <c r="L28" s="135"/>
      <c r="M28" s="135"/>
      <c r="N28" s="135"/>
      <c r="O28" s="135"/>
      <c r="P28" s="135"/>
      <c r="Q28" s="135"/>
      <c r="R28" s="135"/>
      <c r="S28" s="135"/>
      <c r="T28" s="135"/>
      <c r="U28" s="135"/>
    </row>
    <row r="29" spans="1:21" ht="42.75" customHeight="1" x14ac:dyDescent="0.25">
      <c r="A29" s="3" t="s">
        <v>9</v>
      </c>
      <c r="B29" s="151" t="s">
        <v>10</v>
      </c>
      <c r="C29" s="73">
        <f>VLOOKUP($A$12,'[1]6.2. отчет'!$D:$OP,402,0)</f>
        <v>2019</v>
      </c>
      <c r="D29" s="135"/>
      <c r="E29" s="135"/>
      <c r="F29" s="135"/>
      <c r="G29" s="135"/>
      <c r="H29" s="135"/>
      <c r="I29" s="135"/>
      <c r="J29" s="135"/>
      <c r="K29" s="135"/>
      <c r="L29" s="135"/>
      <c r="M29" s="135"/>
      <c r="N29" s="135"/>
      <c r="O29" s="135"/>
      <c r="P29" s="135"/>
      <c r="Q29" s="135"/>
      <c r="R29" s="135"/>
      <c r="S29" s="135"/>
      <c r="T29" s="135"/>
      <c r="U29" s="135"/>
    </row>
    <row r="30" spans="1:21" ht="42.75" customHeight="1" x14ac:dyDescent="0.25">
      <c r="A30" s="3" t="s">
        <v>27</v>
      </c>
      <c r="B30" s="151" t="s">
        <v>8</v>
      </c>
      <c r="C30" s="73" t="str">
        <f>VLOOKUP($A$12,'[1]6.2. отчет'!$D:$OP,403,0)</f>
        <v>п</v>
      </c>
      <c r="D30" s="135"/>
      <c r="E30" s="135"/>
      <c r="F30" s="135"/>
      <c r="G30" s="135"/>
      <c r="H30" s="135"/>
      <c r="I30" s="135"/>
      <c r="J30" s="135"/>
      <c r="K30" s="135"/>
      <c r="L30" s="135"/>
      <c r="M30" s="135"/>
      <c r="N30" s="135"/>
      <c r="O30" s="135"/>
      <c r="P30" s="135"/>
      <c r="Q30" s="135"/>
      <c r="R30" s="135"/>
      <c r="S30" s="135"/>
      <c r="T30" s="135"/>
      <c r="U30" s="135"/>
    </row>
    <row r="31" spans="1:21" x14ac:dyDescent="0.25">
      <c r="A31" s="135"/>
      <c r="B31" s="135"/>
      <c r="C31" s="135"/>
      <c r="D31" s="135"/>
      <c r="E31" s="135"/>
      <c r="F31" s="135"/>
      <c r="G31" s="135"/>
      <c r="H31" s="135"/>
      <c r="I31" s="135"/>
      <c r="J31" s="135"/>
      <c r="K31" s="135"/>
      <c r="L31" s="135"/>
      <c r="M31" s="135"/>
      <c r="N31" s="135"/>
      <c r="O31" s="135"/>
      <c r="P31" s="135"/>
      <c r="Q31" s="135"/>
      <c r="R31" s="135"/>
      <c r="S31" s="135"/>
      <c r="T31" s="135"/>
      <c r="U31" s="135"/>
    </row>
    <row r="32" spans="1:21" x14ac:dyDescent="0.25">
      <c r="A32" s="135"/>
      <c r="B32" s="135"/>
      <c r="C32" s="135"/>
      <c r="D32" s="135"/>
      <c r="E32" s="135"/>
      <c r="F32" s="135"/>
      <c r="G32" s="135"/>
      <c r="H32" s="135"/>
      <c r="I32" s="135"/>
      <c r="J32" s="135"/>
      <c r="K32" s="135"/>
      <c r="L32" s="135"/>
      <c r="M32" s="135"/>
      <c r="N32" s="135"/>
      <c r="O32" s="135"/>
      <c r="P32" s="135"/>
      <c r="Q32" s="135"/>
      <c r="R32" s="135"/>
      <c r="S32" s="135"/>
      <c r="T32" s="135"/>
      <c r="U32" s="135"/>
    </row>
    <row r="33" spans="1:21" x14ac:dyDescent="0.25">
      <c r="A33" s="135"/>
      <c r="B33" s="135"/>
      <c r="C33" s="135"/>
      <c r="D33" s="135"/>
      <c r="E33" s="135"/>
      <c r="F33" s="135"/>
      <c r="G33" s="135"/>
      <c r="H33" s="135"/>
      <c r="I33" s="135"/>
      <c r="J33" s="135"/>
      <c r="K33" s="135"/>
      <c r="L33" s="135"/>
      <c r="M33" s="135"/>
      <c r="N33" s="135"/>
      <c r="O33" s="135"/>
      <c r="P33" s="135"/>
      <c r="Q33" s="135"/>
      <c r="R33" s="135"/>
      <c r="S33" s="135"/>
      <c r="T33" s="135"/>
      <c r="U33" s="135"/>
    </row>
    <row r="34" spans="1:21" x14ac:dyDescent="0.25">
      <c r="A34" s="135"/>
      <c r="B34" s="135"/>
      <c r="C34" s="135"/>
      <c r="D34" s="135"/>
      <c r="E34" s="135"/>
      <c r="F34" s="135"/>
      <c r="G34" s="135"/>
      <c r="H34" s="135"/>
      <c r="I34" s="135"/>
      <c r="J34" s="135"/>
      <c r="K34" s="135"/>
      <c r="L34" s="135"/>
      <c r="M34" s="135"/>
      <c r="N34" s="135"/>
      <c r="O34" s="135"/>
      <c r="P34" s="135"/>
      <c r="Q34" s="135"/>
      <c r="R34" s="135"/>
      <c r="S34" s="135"/>
      <c r="T34" s="135"/>
      <c r="U34" s="135"/>
    </row>
    <row r="35" spans="1:21" x14ac:dyDescent="0.25">
      <c r="A35" s="135"/>
      <c r="B35" s="135"/>
      <c r="C35" s="135"/>
      <c r="D35" s="135"/>
      <c r="E35" s="135"/>
      <c r="F35" s="135"/>
      <c r="G35" s="135"/>
      <c r="H35" s="135"/>
      <c r="I35" s="135"/>
      <c r="J35" s="135"/>
      <c r="K35" s="135"/>
      <c r="L35" s="135"/>
      <c r="M35" s="135"/>
      <c r="N35" s="135"/>
      <c r="O35" s="135"/>
      <c r="P35" s="135"/>
      <c r="Q35" s="135"/>
      <c r="R35" s="135"/>
      <c r="S35" s="135"/>
      <c r="T35" s="135"/>
      <c r="U35" s="135"/>
    </row>
    <row r="36" spans="1:21" x14ac:dyDescent="0.25">
      <c r="A36" s="135"/>
      <c r="B36" s="135"/>
      <c r="C36" s="135"/>
      <c r="D36" s="135"/>
      <c r="E36" s="135"/>
      <c r="F36" s="135"/>
      <c r="G36" s="135"/>
      <c r="H36" s="135"/>
      <c r="I36" s="135"/>
      <c r="J36" s="135"/>
      <c r="K36" s="135"/>
      <c r="L36" s="135"/>
      <c r="M36" s="135"/>
      <c r="N36" s="135"/>
      <c r="O36" s="135"/>
      <c r="P36" s="135"/>
      <c r="Q36" s="135"/>
      <c r="R36" s="135"/>
      <c r="S36" s="135"/>
      <c r="T36" s="135"/>
      <c r="U36" s="135"/>
    </row>
    <row r="37" spans="1:21" x14ac:dyDescent="0.25">
      <c r="A37" s="135"/>
      <c r="B37" s="135"/>
      <c r="C37" s="135"/>
      <c r="D37" s="135"/>
      <c r="E37" s="135"/>
      <c r="F37" s="135"/>
      <c r="G37" s="135"/>
      <c r="H37" s="135"/>
      <c r="I37" s="135"/>
      <c r="J37" s="135"/>
      <c r="K37" s="135"/>
      <c r="L37" s="135"/>
      <c r="M37" s="135"/>
      <c r="N37" s="135"/>
      <c r="O37" s="135"/>
      <c r="P37" s="135"/>
      <c r="Q37" s="135"/>
      <c r="R37" s="135"/>
      <c r="S37" s="135"/>
      <c r="T37" s="135"/>
      <c r="U37" s="135"/>
    </row>
    <row r="38" spans="1:21" x14ac:dyDescent="0.25">
      <c r="A38" s="135"/>
      <c r="B38" s="135"/>
      <c r="C38" s="135"/>
      <c r="D38" s="135"/>
      <c r="E38" s="135"/>
      <c r="F38" s="135"/>
      <c r="G38" s="135"/>
      <c r="H38" s="135"/>
      <c r="I38" s="135"/>
      <c r="J38" s="135"/>
      <c r="K38" s="135"/>
      <c r="L38" s="135"/>
      <c r="M38" s="135"/>
      <c r="N38" s="135"/>
      <c r="O38" s="135"/>
      <c r="P38" s="135"/>
      <c r="Q38" s="135"/>
      <c r="R38" s="135"/>
      <c r="S38" s="135"/>
      <c r="T38" s="135"/>
      <c r="U38" s="135"/>
    </row>
    <row r="39" spans="1:21" x14ac:dyDescent="0.25">
      <c r="A39" s="135"/>
      <c r="B39" s="135"/>
      <c r="C39" s="135"/>
      <c r="D39" s="135"/>
      <c r="E39" s="135"/>
      <c r="F39" s="135"/>
      <c r="G39" s="135"/>
      <c r="H39" s="135"/>
      <c r="I39" s="135"/>
      <c r="J39" s="135"/>
      <c r="K39" s="135"/>
      <c r="L39" s="135"/>
      <c r="M39" s="135"/>
      <c r="N39" s="135"/>
      <c r="O39" s="135"/>
      <c r="P39" s="135"/>
      <c r="Q39" s="135"/>
      <c r="R39" s="135"/>
      <c r="S39" s="135"/>
      <c r="T39" s="135"/>
      <c r="U39" s="135"/>
    </row>
    <row r="40" spans="1:21" x14ac:dyDescent="0.25">
      <c r="A40" s="135"/>
      <c r="B40" s="135"/>
      <c r="C40" s="135"/>
      <c r="D40" s="135"/>
      <c r="E40" s="135"/>
      <c r="F40" s="135"/>
      <c r="G40" s="135"/>
      <c r="H40" s="135"/>
      <c r="I40" s="135"/>
      <c r="J40" s="135"/>
      <c r="K40" s="135"/>
      <c r="L40" s="135"/>
      <c r="M40" s="135"/>
      <c r="N40" s="135"/>
      <c r="O40" s="135"/>
      <c r="P40" s="135"/>
      <c r="Q40" s="135"/>
      <c r="R40" s="135"/>
      <c r="S40" s="135"/>
      <c r="T40" s="135"/>
      <c r="U40" s="135"/>
    </row>
    <row r="41" spans="1:21" x14ac:dyDescent="0.25">
      <c r="A41" s="135"/>
      <c r="B41" s="135"/>
      <c r="C41" s="135"/>
      <c r="D41" s="135"/>
      <c r="E41" s="135"/>
      <c r="F41" s="135"/>
      <c r="G41" s="135"/>
      <c r="H41" s="135"/>
      <c r="I41" s="135"/>
      <c r="J41" s="135"/>
      <c r="K41" s="135"/>
      <c r="L41" s="135"/>
      <c r="M41" s="135"/>
      <c r="N41" s="135"/>
      <c r="O41" s="135"/>
      <c r="P41" s="135"/>
      <c r="Q41" s="135"/>
      <c r="R41" s="135"/>
      <c r="S41" s="135"/>
      <c r="T41" s="135"/>
      <c r="U41" s="135"/>
    </row>
    <row r="42" spans="1:21" x14ac:dyDescent="0.25">
      <c r="A42" s="135"/>
      <c r="B42" s="135"/>
      <c r="C42" s="135"/>
      <c r="D42" s="135"/>
      <c r="E42" s="135"/>
      <c r="F42" s="135"/>
      <c r="G42" s="135"/>
      <c r="H42" s="135"/>
      <c r="I42" s="135"/>
      <c r="J42" s="135"/>
      <c r="K42" s="135"/>
      <c r="L42" s="135"/>
      <c r="M42" s="135"/>
      <c r="N42" s="135"/>
      <c r="O42" s="135"/>
      <c r="P42" s="135"/>
      <c r="Q42" s="135"/>
      <c r="R42" s="135"/>
      <c r="S42" s="135"/>
      <c r="T42" s="135"/>
      <c r="U42" s="135"/>
    </row>
    <row r="43" spans="1:21" x14ac:dyDescent="0.25">
      <c r="A43" s="135"/>
      <c r="B43" s="135"/>
      <c r="C43" s="135"/>
      <c r="D43" s="135"/>
      <c r="E43" s="135"/>
      <c r="F43" s="135"/>
      <c r="G43" s="135"/>
      <c r="H43" s="135"/>
      <c r="I43" s="135"/>
      <c r="J43" s="135"/>
      <c r="K43" s="135"/>
      <c r="L43" s="135"/>
      <c r="M43" s="135"/>
      <c r="N43" s="135"/>
      <c r="O43" s="135"/>
      <c r="P43" s="135"/>
      <c r="Q43" s="135"/>
      <c r="R43" s="135"/>
      <c r="S43" s="135"/>
      <c r="T43" s="135"/>
      <c r="U43" s="135"/>
    </row>
    <row r="44" spans="1:21" x14ac:dyDescent="0.25">
      <c r="A44" s="135"/>
      <c r="B44" s="135"/>
      <c r="C44" s="135"/>
      <c r="D44" s="135"/>
      <c r="E44" s="135"/>
      <c r="F44" s="135"/>
      <c r="G44" s="135"/>
      <c r="H44" s="135"/>
      <c r="I44" s="135"/>
      <c r="J44" s="135"/>
      <c r="K44" s="135"/>
      <c r="L44" s="135"/>
      <c r="M44" s="135"/>
      <c r="N44" s="135"/>
      <c r="O44" s="135"/>
      <c r="P44" s="135"/>
      <c r="Q44" s="135"/>
      <c r="R44" s="135"/>
      <c r="S44" s="135"/>
      <c r="T44" s="135"/>
      <c r="U44" s="135"/>
    </row>
    <row r="45" spans="1:21" x14ac:dyDescent="0.25">
      <c r="A45" s="135"/>
      <c r="B45" s="135"/>
      <c r="C45" s="135"/>
      <c r="D45" s="135"/>
      <c r="E45" s="135"/>
      <c r="F45" s="135"/>
      <c r="G45" s="135"/>
      <c r="H45" s="135"/>
      <c r="I45" s="135"/>
      <c r="J45" s="135"/>
      <c r="K45" s="135"/>
      <c r="L45" s="135"/>
      <c r="M45" s="135"/>
      <c r="N45" s="135"/>
      <c r="O45" s="135"/>
      <c r="P45" s="135"/>
      <c r="Q45" s="135"/>
      <c r="R45" s="135"/>
      <c r="S45" s="135"/>
      <c r="T45" s="135"/>
      <c r="U45" s="135"/>
    </row>
    <row r="46" spans="1:21" x14ac:dyDescent="0.25">
      <c r="A46" s="135"/>
      <c r="B46" s="135"/>
      <c r="C46" s="135"/>
      <c r="D46" s="135"/>
      <c r="E46" s="135"/>
      <c r="F46" s="135"/>
      <c r="G46" s="135"/>
      <c r="H46" s="135"/>
      <c r="I46" s="135"/>
      <c r="J46" s="135"/>
      <c r="K46" s="135"/>
      <c r="L46" s="135"/>
      <c r="M46" s="135"/>
      <c r="N46" s="135"/>
      <c r="O46" s="135"/>
      <c r="P46" s="135"/>
      <c r="Q46" s="135"/>
      <c r="R46" s="135"/>
      <c r="S46" s="135"/>
      <c r="T46" s="135"/>
      <c r="U46" s="135"/>
    </row>
    <row r="47" spans="1:21" x14ac:dyDescent="0.25">
      <c r="A47" s="135"/>
      <c r="B47" s="135"/>
      <c r="C47" s="135"/>
      <c r="D47" s="135"/>
      <c r="E47" s="135"/>
      <c r="F47" s="135"/>
      <c r="G47" s="135"/>
      <c r="H47" s="135"/>
      <c r="I47" s="135"/>
      <c r="J47" s="135"/>
      <c r="K47" s="135"/>
      <c r="L47" s="135"/>
      <c r="M47" s="135"/>
      <c r="N47" s="135"/>
      <c r="O47" s="135"/>
      <c r="P47" s="135"/>
      <c r="Q47" s="135"/>
      <c r="R47" s="135"/>
      <c r="S47" s="135"/>
      <c r="T47" s="135"/>
      <c r="U47" s="135"/>
    </row>
    <row r="48" spans="1:21" x14ac:dyDescent="0.25">
      <c r="A48" s="135"/>
      <c r="B48" s="135"/>
      <c r="C48" s="135"/>
      <c r="D48" s="135"/>
      <c r="E48" s="135"/>
      <c r="F48" s="135"/>
      <c r="G48" s="135"/>
      <c r="H48" s="135"/>
      <c r="I48" s="135"/>
      <c r="J48" s="135"/>
      <c r="K48" s="135"/>
      <c r="L48" s="135"/>
      <c r="M48" s="135"/>
      <c r="N48" s="135"/>
      <c r="O48" s="135"/>
      <c r="P48" s="135"/>
      <c r="Q48" s="135"/>
      <c r="R48" s="135"/>
      <c r="S48" s="135"/>
      <c r="T48" s="135"/>
      <c r="U48" s="135"/>
    </row>
    <row r="49" spans="1:21" x14ac:dyDescent="0.25">
      <c r="A49" s="135"/>
      <c r="B49" s="135"/>
      <c r="C49" s="135"/>
      <c r="D49" s="135"/>
      <c r="E49" s="135"/>
      <c r="F49" s="135"/>
      <c r="G49" s="135"/>
      <c r="H49" s="135"/>
      <c r="I49" s="135"/>
      <c r="J49" s="135"/>
      <c r="K49" s="135"/>
      <c r="L49" s="135"/>
      <c r="M49" s="135"/>
      <c r="N49" s="135"/>
      <c r="O49" s="135"/>
      <c r="P49" s="135"/>
      <c r="Q49" s="135"/>
      <c r="R49" s="135"/>
      <c r="S49" s="135"/>
      <c r="T49" s="135"/>
      <c r="U49" s="135"/>
    </row>
    <row r="50" spans="1:21" x14ac:dyDescent="0.25">
      <c r="A50" s="135"/>
      <c r="B50" s="135"/>
      <c r="C50" s="135"/>
      <c r="D50" s="135"/>
      <c r="E50" s="135"/>
      <c r="F50" s="135"/>
      <c r="G50" s="135"/>
      <c r="H50" s="135"/>
      <c r="I50" s="135"/>
      <c r="J50" s="135"/>
      <c r="K50" s="135"/>
      <c r="L50" s="135"/>
      <c r="M50" s="135"/>
      <c r="N50" s="135"/>
      <c r="O50" s="135"/>
      <c r="P50" s="135"/>
      <c r="Q50" s="135"/>
      <c r="R50" s="135"/>
      <c r="S50" s="135"/>
      <c r="T50" s="135"/>
      <c r="U50" s="135"/>
    </row>
    <row r="51" spans="1:21" x14ac:dyDescent="0.25">
      <c r="A51" s="135"/>
      <c r="B51" s="135"/>
      <c r="C51" s="135"/>
      <c r="D51" s="135"/>
      <c r="E51" s="135"/>
      <c r="F51" s="135"/>
      <c r="G51" s="135"/>
      <c r="H51" s="135"/>
      <c r="I51" s="135"/>
      <c r="J51" s="135"/>
      <c r="K51" s="135"/>
      <c r="L51" s="135"/>
      <c r="M51" s="135"/>
      <c r="N51" s="135"/>
      <c r="O51" s="135"/>
      <c r="P51" s="135"/>
      <c r="Q51" s="135"/>
      <c r="R51" s="135"/>
      <c r="S51" s="135"/>
      <c r="T51" s="135"/>
      <c r="U51" s="135"/>
    </row>
    <row r="52" spans="1:21" x14ac:dyDescent="0.25">
      <c r="A52" s="135"/>
      <c r="B52" s="135"/>
      <c r="C52" s="135"/>
      <c r="D52" s="135"/>
      <c r="E52" s="135"/>
      <c r="F52" s="135"/>
      <c r="G52" s="135"/>
      <c r="H52" s="135"/>
      <c r="I52" s="135"/>
      <c r="J52" s="135"/>
      <c r="K52" s="135"/>
      <c r="L52" s="135"/>
      <c r="M52" s="135"/>
      <c r="N52" s="135"/>
      <c r="O52" s="135"/>
      <c r="P52" s="135"/>
      <c r="Q52" s="135"/>
      <c r="R52" s="135"/>
      <c r="S52" s="135"/>
      <c r="T52" s="135"/>
      <c r="U52" s="135"/>
    </row>
    <row r="53" spans="1:21" x14ac:dyDescent="0.25">
      <c r="A53" s="135"/>
      <c r="B53" s="135"/>
      <c r="C53" s="135"/>
      <c r="D53" s="135"/>
      <c r="E53" s="135"/>
      <c r="F53" s="135"/>
      <c r="G53" s="135"/>
      <c r="H53" s="135"/>
      <c r="I53" s="135"/>
      <c r="J53" s="135"/>
      <c r="K53" s="135"/>
      <c r="L53" s="135"/>
      <c r="M53" s="135"/>
      <c r="N53" s="135"/>
      <c r="O53" s="135"/>
      <c r="P53" s="135"/>
      <c r="Q53" s="135"/>
      <c r="R53" s="135"/>
      <c r="S53" s="135"/>
      <c r="T53" s="135"/>
      <c r="U53" s="135"/>
    </row>
    <row r="54" spans="1:21" x14ac:dyDescent="0.25">
      <c r="A54" s="135"/>
      <c r="B54" s="135"/>
      <c r="C54" s="135"/>
      <c r="D54" s="135"/>
      <c r="E54" s="135"/>
      <c r="F54" s="135"/>
      <c r="G54" s="135"/>
      <c r="H54" s="135"/>
      <c r="I54" s="135"/>
      <c r="J54" s="135"/>
      <c r="K54" s="135"/>
      <c r="L54" s="135"/>
      <c r="M54" s="135"/>
      <c r="N54" s="135"/>
      <c r="O54" s="135"/>
      <c r="P54" s="135"/>
      <c r="Q54" s="135"/>
      <c r="R54" s="135"/>
      <c r="S54" s="135"/>
      <c r="T54" s="135"/>
      <c r="U54" s="135"/>
    </row>
    <row r="55" spans="1:21" x14ac:dyDescent="0.25">
      <c r="A55" s="135"/>
      <c r="B55" s="135"/>
      <c r="C55" s="135"/>
      <c r="D55" s="135"/>
      <c r="E55" s="135"/>
      <c r="F55" s="135"/>
      <c r="G55" s="135"/>
      <c r="H55" s="135"/>
      <c r="I55" s="135"/>
      <c r="J55" s="135"/>
      <c r="K55" s="135"/>
      <c r="L55" s="135"/>
      <c r="M55" s="135"/>
      <c r="N55" s="135"/>
      <c r="O55" s="135"/>
      <c r="P55" s="135"/>
      <c r="Q55" s="135"/>
      <c r="R55" s="135"/>
      <c r="S55" s="135"/>
      <c r="T55" s="135"/>
      <c r="U55" s="135"/>
    </row>
    <row r="56" spans="1:21" x14ac:dyDescent="0.25">
      <c r="A56" s="135"/>
      <c r="B56" s="135"/>
      <c r="C56" s="135"/>
      <c r="D56" s="135"/>
      <c r="E56" s="135"/>
      <c r="F56" s="135"/>
      <c r="G56" s="135"/>
      <c r="H56" s="135"/>
      <c r="I56" s="135"/>
      <c r="J56" s="135"/>
      <c r="K56" s="135"/>
      <c r="L56" s="135"/>
      <c r="M56" s="135"/>
      <c r="N56" s="135"/>
      <c r="O56" s="135"/>
      <c r="P56" s="135"/>
      <c r="Q56" s="135"/>
      <c r="R56" s="135"/>
      <c r="S56" s="135"/>
      <c r="T56" s="135"/>
      <c r="U56" s="135"/>
    </row>
    <row r="57" spans="1:21" x14ac:dyDescent="0.25">
      <c r="A57" s="135"/>
      <c r="B57" s="135"/>
      <c r="C57" s="135"/>
      <c r="D57" s="135"/>
      <c r="E57" s="135"/>
      <c r="F57" s="135"/>
      <c r="G57" s="135"/>
      <c r="H57" s="135"/>
      <c r="I57" s="135"/>
      <c r="J57" s="135"/>
      <c r="K57" s="135"/>
      <c r="L57" s="135"/>
      <c r="M57" s="135"/>
      <c r="N57" s="135"/>
      <c r="O57" s="135"/>
      <c r="P57" s="135"/>
      <c r="Q57" s="135"/>
      <c r="R57" s="135"/>
      <c r="S57" s="135"/>
      <c r="T57" s="135"/>
      <c r="U57" s="135"/>
    </row>
    <row r="58" spans="1:21" x14ac:dyDescent="0.25">
      <c r="A58" s="135"/>
      <c r="B58" s="135"/>
      <c r="C58" s="135"/>
      <c r="D58" s="135"/>
      <c r="E58" s="135"/>
      <c r="F58" s="135"/>
      <c r="G58" s="135"/>
      <c r="H58" s="135"/>
      <c r="I58" s="135"/>
      <c r="J58" s="135"/>
      <c r="K58" s="135"/>
      <c r="L58" s="135"/>
      <c r="M58" s="135"/>
      <c r="N58" s="135"/>
      <c r="O58" s="135"/>
      <c r="P58" s="135"/>
      <c r="Q58" s="135"/>
      <c r="R58" s="135"/>
      <c r="S58" s="135"/>
      <c r="T58" s="135"/>
      <c r="U58" s="135"/>
    </row>
    <row r="59" spans="1:21" x14ac:dyDescent="0.25">
      <c r="A59" s="135"/>
      <c r="B59" s="135"/>
      <c r="C59" s="135"/>
      <c r="D59" s="135"/>
      <c r="E59" s="135"/>
      <c r="F59" s="135"/>
      <c r="G59" s="135"/>
      <c r="H59" s="135"/>
      <c r="I59" s="135"/>
      <c r="J59" s="135"/>
      <c r="K59" s="135"/>
      <c r="L59" s="135"/>
      <c r="M59" s="135"/>
      <c r="N59" s="135"/>
      <c r="O59" s="135"/>
      <c r="P59" s="135"/>
      <c r="Q59" s="135"/>
      <c r="R59" s="135"/>
      <c r="S59" s="135"/>
      <c r="T59" s="135"/>
      <c r="U59" s="135"/>
    </row>
    <row r="60" spans="1:21" x14ac:dyDescent="0.25">
      <c r="A60" s="135"/>
      <c r="B60" s="135"/>
      <c r="C60" s="135"/>
      <c r="D60" s="135"/>
      <c r="E60" s="135"/>
      <c r="F60" s="135"/>
      <c r="G60" s="135"/>
      <c r="H60" s="135"/>
      <c r="I60" s="135"/>
      <c r="J60" s="135"/>
      <c r="K60" s="135"/>
      <c r="L60" s="135"/>
      <c r="M60" s="135"/>
      <c r="N60" s="135"/>
      <c r="O60" s="135"/>
      <c r="P60" s="135"/>
      <c r="Q60" s="135"/>
      <c r="R60" s="135"/>
      <c r="S60" s="135"/>
      <c r="T60" s="135"/>
      <c r="U60" s="135"/>
    </row>
    <row r="61" spans="1:21" x14ac:dyDescent="0.25">
      <c r="A61" s="135"/>
      <c r="B61" s="135"/>
      <c r="C61" s="135"/>
      <c r="D61" s="135"/>
      <c r="E61" s="135"/>
      <c r="F61" s="135"/>
      <c r="G61" s="135"/>
      <c r="H61" s="135"/>
      <c r="I61" s="135"/>
      <c r="J61" s="135"/>
      <c r="K61" s="135"/>
      <c r="L61" s="135"/>
      <c r="M61" s="135"/>
      <c r="N61" s="135"/>
      <c r="O61" s="135"/>
      <c r="P61" s="135"/>
      <c r="Q61" s="135"/>
      <c r="R61" s="135"/>
      <c r="S61" s="135"/>
      <c r="T61" s="135"/>
      <c r="U61" s="135"/>
    </row>
    <row r="62" spans="1:21" x14ac:dyDescent="0.25">
      <c r="A62" s="135"/>
      <c r="B62" s="135"/>
      <c r="C62" s="135"/>
      <c r="D62" s="135"/>
      <c r="E62" s="135"/>
      <c r="F62" s="135"/>
      <c r="G62" s="135"/>
      <c r="H62" s="135"/>
      <c r="I62" s="135"/>
      <c r="J62" s="135"/>
      <c r="K62" s="135"/>
      <c r="L62" s="135"/>
      <c r="M62" s="135"/>
      <c r="N62" s="135"/>
      <c r="O62" s="135"/>
      <c r="P62" s="135"/>
      <c r="Q62" s="135"/>
      <c r="R62" s="135"/>
      <c r="S62" s="135"/>
      <c r="T62" s="135"/>
      <c r="U62" s="135"/>
    </row>
    <row r="63" spans="1:21" x14ac:dyDescent="0.25">
      <c r="A63" s="135"/>
      <c r="B63" s="135"/>
      <c r="C63" s="135"/>
      <c r="D63" s="135"/>
      <c r="E63" s="135"/>
      <c r="F63" s="135"/>
      <c r="G63" s="135"/>
      <c r="H63" s="135"/>
      <c r="I63" s="135"/>
      <c r="J63" s="135"/>
      <c r="K63" s="135"/>
      <c r="L63" s="135"/>
      <c r="M63" s="135"/>
      <c r="N63" s="135"/>
      <c r="O63" s="135"/>
      <c r="P63" s="135"/>
      <c r="Q63" s="135"/>
      <c r="R63" s="135"/>
      <c r="S63" s="135"/>
      <c r="T63" s="135"/>
      <c r="U63" s="135"/>
    </row>
    <row r="64" spans="1:21" x14ac:dyDescent="0.25">
      <c r="A64" s="135"/>
      <c r="B64" s="135"/>
      <c r="C64" s="135"/>
      <c r="D64" s="135"/>
      <c r="E64" s="135"/>
      <c r="F64" s="135"/>
      <c r="G64" s="135"/>
      <c r="H64" s="135"/>
      <c r="I64" s="135"/>
      <c r="J64" s="135"/>
      <c r="K64" s="135"/>
      <c r="L64" s="135"/>
      <c r="M64" s="135"/>
      <c r="N64" s="135"/>
      <c r="O64" s="135"/>
      <c r="P64" s="135"/>
      <c r="Q64" s="135"/>
      <c r="R64" s="135"/>
      <c r="S64" s="135"/>
      <c r="T64" s="135"/>
      <c r="U64" s="135"/>
    </row>
    <row r="65" spans="1:21" x14ac:dyDescent="0.25">
      <c r="A65" s="135"/>
      <c r="B65" s="135"/>
      <c r="C65" s="135"/>
      <c r="D65" s="135"/>
      <c r="E65" s="135"/>
      <c r="F65" s="135"/>
      <c r="G65" s="135"/>
      <c r="H65" s="135"/>
      <c r="I65" s="135"/>
      <c r="J65" s="135"/>
      <c r="K65" s="135"/>
      <c r="L65" s="135"/>
      <c r="M65" s="135"/>
      <c r="N65" s="135"/>
      <c r="O65" s="135"/>
      <c r="P65" s="135"/>
      <c r="Q65" s="135"/>
      <c r="R65" s="135"/>
      <c r="S65" s="135"/>
      <c r="T65" s="135"/>
      <c r="U65" s="135"/>
    </row>
    <row r="66" spans="1:21" x14ac:dyDescent="0.25">
      <c r="A66" s="135"/>
      <c r="B66" s="135"/>
      <c r="C66" s="135"/>
      <c r="D66" s="135"/>
      <c r="E66" s="135"/>
      <c r="F66" s="135"/>
      <c r="G66" s="135"/>
      <c r="H66" s="135"/>
      <c r="I66" s="135"/>
      <c r="J66" s="135"/>
      <c r="K66" s="135"/>
      <c r="L66" s="135"/>
      <c r="M66" s="135"/>
      <c r="N66" s="135"/>
      <c r="O66" s="135"/>
      <c r="P66" s="135"/>
      <c r="Q66" s="135"/>
      <c r="R66" s="135"/>
      <c r="S66" s="135"/>
      <c r="T66" s="135"/>
      <c r="U66" s="135"/>
    </row>
    <row r="67" spans="1:21" x14ac:dyDescent="0.25">
      <c r="A67" s="135"/>
      <c r="B67" s="135"/>
      <c r="C67" s="135"/>
      <c r="D67" s="135"/>
      <c r="E67" s="135"/>
      <c r="F67" s="135"/>
      <c r="G67" s="135"/>
      <c r="H67" s="135"/>
      <c r="I67" s="135"/>
      <c r="J67" s="135"/>
      <c r="K67" s="135"/>
      <c r="L67" s="135"/>
      <c r="M67" s="135"/>
      <c r="N67" s="135"/>
      <c r="O67" s="135"/>
      <c r="P67" s="135"/>
      <c r="Q67" s="135"/>
      <c r="R67" s="135"/>
      <c r="S67" s="135"/>
      <c r="T67" s="135"/>
      <c r="U67" s="135"/>
    </row>
    <row r="68" spans="1:21" x14ac:dyDescent="0.25">
      <c r="A68" s="135"/>
      <c r="B68" s="135"/>
      <c r="C68" s="135"/>
      <c r="D68" s="135"/>
      <c r="E68" s="135"/>
      <c r="F68" s="135"/>
      <c r="G68" s="135"/>
      <c r="H68" s="135"/>
      <c r="I68" s="135"/>
      <c r="J68" s="135"/>
      <c r="K68" s="135"/>
      <c r="L68" s="135"/>
      <c r="M68" s="135"/>
      <c r="N68" s="135"/>
      <c r="O68" s="135"/>
      <c r="P68" s="135"/>
      <c r="Q68" s="135"/>
      <c r="R68" s="135"/>
      <c r="S68" s="135"/>
      <c r="T68" s="135"/>
      <c r="U68" s="135"/>
    </row>
    <row r="69" spans="1:21" x14ac:dyDescent="0.25">
      <c r="A69" s="135"/>
      <c r="B69" s="135"/>
      <c r="C69" s="135"/>
      <c r="D69" s="135"/>
      <c r="E69" s="135"/>
      <c r="F69" s="135"/>
      <c r="G69" s="135"/>
      <c r="H69" s="135"/>
      <c r="I69" s="135"/>
      <c r="J69" s="135"/>
      <c r="K69" s="135"/>
      <c r="L69" s="135"/>
      <c r="M69" s="135"/>
      <c r="N69" s="135"/>
      <c r="O69" s="135"/>
      <c r="P69" s="135"/>
      <c r="Q69" s="135"/>
      <c r="R69" s="135"/>
      <c r="S69" s="135"/>
      <c r="T69" s="135"/>
      <c r="U69" s="135"/>
    </row>
    <row r="70" spans="1:21" x14ac:dyDescent="0.25">
      <c r="A70" s="135"/>
      <c r="B70" s="135"/>
      <c r="C70" s="135"/>
      <c r="D70" s="135"/>
      <c r="E70" s="135"/>
      <c r="F70" s="135"/>
      <c r="G70" s="135"/>
      <c r="H70" s="135"/>
      <c r="I70" s="135"/>
      <c r="J70" s="135"/>
      <c r="K70" s="135"/>
      <c r="L70" s="135"/>
      <c r="M70" s="135"/>
      <c r="N70" s="135"/>
      <c r="O70" s="135"/>
      <c r="P70" s="135"/>
      <c r="Q70" s="135"/>
      <c r="R70" s="135"/>
      <c r="S70" s="135"/>
      <c r="T70" s="135"/>
      <c r="U70" s="135"/>
    </row>
    <row r="71" spans="1:21" x14ac:dyDescent="0.25">
      <c r="A71" s="135"/>
      <c r="B71" s="135"/>
      <c r="C71" s="135"/>
      <c r="D71" s="135"/>
      <c r="E71" s="135"/>
      <c r="F71" s="135"/>
      <c r="G71" s="135"/>
      <c r="H71" s="135"/>
      <c r="I71" s="135"/>
      <c r="J71" s="135"/>
      <c r="K71" s="135"/>
      <c r="L71" s="135"/>
      <c r="M71" s="135"/>
      <c r="N71" s="135"/>
      <c r="O71" s="135"/>
      <c r="P71" s="135"/>
      <c r="Q71" s="135"/>
      <c r="R71" s="135"/>
      <c r="S71" s="135"/>
      <c r="T71" s="135"/>
      <c r="U71" s="135"/>
    </row>
    <row r="72" spans="1:21" x14ac:dyDescent="0.25">
      <c r="A72" s="135"/>
      <c r="B72" s="135"/>
      <c r="C72" s="135"/>
      <c r="D72" s="135"/>
      <c r="E72" s="135"/>
      <c r="F72" s="135"/>
      <c r="G72" s="135"/>
      <c r="H72" s="135"/>
      <c r="I72" s="135"/>
      <c r="J72" s="135"/>
      <c r="K72" s="135"/>
      <c r="L72" s="135"/>
      <c r="M72" s="135"/>
      <c r="N72" s="135"/>
      <c r="O72" s="135"/>
      <c r="P72" s="135"/>
      <c r="Q72" s="135"/>
      <c r="R72" s="135"/>
      <c r="S72" s="135"/>
      <c r="T72" s="135"/>
      <c r="U72" s="135"/>
    </row>
    <row r="73" spans="1:21" x14ac:dyDescent="0.25">
      <c r="A73" s="135"/>
      <c r="B73" s="135"/>
      <c r="C73" s="135"/>
      <c r="D73" s="135"/>
      <c r="E73" s="135"/>
      <c r="F73" s="135"/>
      <c r="G73" s="135"/>
      <c r="H73" s="135"/>
      <c r="I73" s="135"/>
      <c r="J73" s="135"/>
      <c r="K73" s="135"/>
      <c r="L73" s="135"/>
      <c r="M73" s="135"/>
      <c r="N73" s="135"/>
      <c r="O73" s="135"/>
      <c r="P73" s="135"/>
      <c r="Q73" s="135"/>
      <c r="R73" s="135"/>
      <c r="S73" s="135"/>
      <c r="T73" s="135"/>
      <c r="U73" s="135"/>
    </row>
    <row r="74" spans="1:21" x14ac:dyDescent="0.25">
      <c r="A74" s="135"/>
      <c r="B74" s="135"/>
      <c r="C74" s="135"/>
      <c r="D74" s="135"/>
      <c r="E74" s="135"/>
      <c r="F74" s="135"/>
      <c r="G74" s="135"/>
      <c r="H74" s="135"/>
      <c r="I74" s="135"/>
      <c r="J74" s="135"/>
      <c r="K74" s="135"/>
      <c r="L74" s="135"/>
      <c r="M74" s="135"/>
      <c r="N74" s="135"/>
      <c r="O74" s="135"/>
      <c r="P74" s="135"/>
      <c r="Q74" s="135"/>
      <c r="R74" s="135"/>
      <c r="S74" s="135"/>
      <c r="T74" s="135"/>
      <c r="U74" s="135"/>
    </row>
    <row r="75" spans="1:21" x14ac:dyDescent="0.25">
      <c r="A75" s="135"/>
      <c r="B75" s="135"/>
      <c r="C75" s="135"/>
      <c r="D75" s="135"/>
      <c r="E75" s="135"/>
      <c r="F75" s="135"/>
      <c r="G75" s="135"/>
      <c r="H75" s="135"/>
      <c r="I75" s="135"/>
      <c r="J75" s="135"/>
      <c r="K75" s="135"/>
      <c r="L75" s="135"/>
      <c r="M75" s="135"/>
      <c r="N75" s="135"/>
      <c r="O75" s="135"/>
      <c r="P75" s="135"/>
      <c r="Q75" s="135"/>
      <c r="R75" s="135"/>
      <c r="S75" s="135"/>
      <c r="T75" s="135"/>
      <c r="U75" s="135"/>
    </row>
    <row r="76" spans="1:21" x14ac:dyDescent="0.25">
      <c r="A76" s="135"/>
      <c r="B76" s="135"/>
      <c r="C76" s="135"/>
      <c r="D76" s="135"/>
      <c r="E76" s="135"/>
      <c r="F76" s="135"/>
      <c r="G76" s="135"/>
      <c r="H76" s="135"/>
      <c r="I76" s="135"/>
      <c r="J76" s="135"/>
      <c r="K76" s="135"/>
      <c r="L76" s="135"/>
      <c r="M76" s="135"/>
      <c r="N76" s="135"/>
      <c r="O76" s="135"/>
      <c r="P76" s="135"/>
      <c r="Q76" s="135"/>
      <c r="R76" s="135"/>
      <c r="S76" s="135"/>
      <c r="T76" s="135"/>
      <c r="U76" s="135"/>
    </row>
    <row r="77" spans="1:21" x14ac:dyDescent="0.25">
      <c r="A77" s="135"/>
      <c r="B77" s="135"/>
      <c r="C77" s="135"/>
      <c r="D77" s="135"/>
      <c r="E77" s="135"/>
      <c r="F77" s="135"/>
      <c r="G77" s="135"/>
      <c r="H77" s="135"/>
      <c r="I77" s="135"/>
      <c r="J77" s="135"/>
      <c r="K77" s="135"/>
      <c r="L77" s="135"/>
      <c r="M77" s="135"/>
      <c r="N77" s="135"/>
      <c r="O77" s="135"/>
      <c r="P77" s="135"/>
      <c r="Q77" s="135"/>
      <c r="R77" s="135"/>
      <c r="S77" s="135"/>
      <c r="T77" s="135"/>
      <c r="U77" s="135"/>
    </row>
    <row r="78" spans="1:21" x14ac:dyDescent="0.25">
      <c r="A78" s="135"/>
      <c r="B78" s="135"/>
      <c r="C78" s="135"/>
      <c r="D78" s="135"/>
      <c r="E78" s="135"/>
      <c r="F78" s="135"/>
      <c r="G78" s="135"/>
      <c r="H78" s="135"/>
      <c r="I78" s="135"/>
      <c r="J78" s="135"/>
      <c r="K78" s="135"/>
      <c r="L78" s="135"/>
      <c r="M78" s="135"/>
      <c r="N78" s="135"/>
      <c r="O78" s="135"/>
      <c r="P78" s="135"/>
      <c r="Q78" s="135"/>
      <c r="R78" s="135"/>
      <c r="S78" s="135"/>
      <c r="T78" s="135"/>
      <c r="U78" s="135"/>
    </row>
    <row r="79" spans="1:21" x14ac:dyDescent="0.25">
      <c r="A79" s="135"/>
      <c r="B79" s="135"/>
      <c r="C79" s="135"/>
      <c r="D79" s="135"/>
      <c r="E79" s="135"/>
      <c r="F79" s="135"/>
      <c r="G79" s="135"/>
      <c r="H79" s="135"/>
      <c r="I79" s="135"/>
      <c r="J79" s="135"/>
      <c r="K79" s="135"/>
      <c r="L79" s="135"/>
      <c r="M79" s="135"/>
      <c r="N79" s="135"/>
      <c r="O79" s="135"/>
      <c r="P79" s="135"/>
      <c r="Q79" s="135"/>
      <c r="R79" s="135"/>
      <c r="S79" s="135"/>
      <c r="T79" s="135"/>
      <c r="U79" s="135"/>
    </row>
    <row r="80" spans="1:21" x14ac:dyDescent="0.25">
      <c r="A80" s="135"/>
      <c r="B80" s="135"/>
      <c r="C80" s="135"/>
      <c r="D80" s="135"/>
      <c r="E80" s="135"/>
      <c r="F80" s="135"/>
      <c r="G80" s="135"/>
      <c r="H80" s="135"/>
      <c r="I80" s="135"/>
      <c r="J80" s="135"/>
      <c r="K80" s="135"/>
      <c r="L80" s="135"/>
      <c r="M80" s="135"/>
      <c r="N80" s="135"/>
      <c r="O80" s="135"/>
      <c r="P80" s="135"/>
      <c r="Q80" s="135"/>
      <c r="R80" s="135"/>
      <c r="S80" s="135"/>
      <c r="T80" s="135"/>
      <c r="U80" s="135"/>
    </row>
    <row r="81" spans="1:21" x14ac:dyDescent="0.25">
      <c r="A81" s="135"/>
      <c r="B81" s="135"/>
      <c r="C81" s="135"/>
      <c r="D81" s="135"/>
      <c r="E81" s="135"/>
      <c r="F81" s="135"/>
      <c r="G81" s="135"/>
      <c r="H81" s="135"/>
      <c r="I81" s="135"/>
      <c r="J81" s="135"/>
      <c r="K81" s="135"/>
      <c r="L81" s="135"/>
      <c r="M81" s="135"/>
      <c r="N81" s="135"/>
      <c r="O81" s="135"/>
      <c r="P81" s="135"/>
      <c r="Q81" s="135"/>
      <c r="R81" s="135"/>
      <c r="S81" s="135"/>
      <c r="T81" s="135"/>
      <c r="U81" s="135"/>
    </row>
    <row r="82" spans="1:21" x14ac:dyDescent="0.25">
      <c r="A82" s="135"/>
      <c r="B82" s="135"/>
      <c r="C82" s="135"/>
      <c r="D82" s="135"/>
      <c r="E82" s="135"/>
      <c r="F82" s="135"/>
      <c r="G82" s="135"/>
      <c r="H82" s="135"/>
      <c r="I82" s="135"/>
      <c r="J82" s="135"/>
      <c r="K82" s="135"/>
      <c r="L82" s="135"/>
      <c r="M82" s="135"/>
      <c r="N82" s="135"/>
      <c r="O82" s="135"/>
      <c r="P82" s="135"/>
      <c r="Q82" s="135"/>
      <c r="R82" s="135"/>
      <c r="S82" s="135"/>
      <c r="T82" s="135"/>
      <c r="U82" s="135"/>
    </row>
    <row r="83" spans="1:21" x14ac:dyDescent="0.25">
      <c r="A83" s="135"/>
      <c r="B83" s="135"/>
      <c r="C83" s="135"/>
      <c r="D83" s="135"/>
      <c r="E83" s="135"/>
      <c r="F83" s="135"/>
      <c r="G83" s="135"/>
      <c r="H83" s="135"/>
      <c r="I83" s="135"/>
      <c r="J83" s="135"/>
      <c r="K83" s="135"/>
      <c r="L83" s="135"/>
      <c r="M83" s="135"/>
      <c r="N83" s="135"/>
      <c r="O83" s="135"/>
      <c r="P83" s="135"/>
      <c r="Q83" s="135"/>
      <c r="R83" s="135"/>
      <c r="S83" s="135"/>
      <c r="T83" s="135"/>
      <c r="U83" s="135"/>
    </row>
    <row r="84" spans="1:21" x14ac:dyDescent="0.25">
      <c r="A84" s="135"/>
      <c r="B84" s="135"/>
      <c r="C84" s="135"/>
      <c r="D84" s="135"/>
      <c r="E84" s="135"/>
      <c r="F84" s="135"/>
      <c r="G84" s="135"/>
      <c r="H84" s="135"/>
      <c r="I84" s="135"/>
      <c r="J84" s="135"/>
      <c r="K84" s="135"/>
      <c r="L84" s="135"/>
      <c r="M84" s="135"/>
      <c r="N84" s="135"/>
      <c r="O84" s="135"/>
      <c r="P84" s="135"/>
      <c r="Q84" s="135"/>
      <c r="R84" s="135"/>
      <c r="S84" s="135"/>
      <c r="T84" s="135"/>
      <c r="U84" s="135"/>
    </row>
    <row r="85" spans="1:21" x14ac:dyDescent="0.25">
      <c r="A85" s="135"/>
      <c r="B85" s="135"/>
      <c r="C85" s="135"/>
      <c r="D85" s="135"/>
      <c r="E85" s="135"/>
      <c r="F85" s="135"/>
      <c r="G85" s="135"/>
      <c r="H85" s="135"/>
      <c r="I85" s="135"/>
      <c r="J85" s="135"/>
      <c r="K85" s="135"/>
      <c r="L85" s="135"/>
      <c r="M85" s="135"/>
      <c r="N85" s="135"/>
      <c r="O85" s="135"/>
      <c r="P85" s="135"/>
      <c r="Q85" s="135"/>
      <c r="R85" s="135"/>
      <c r="S85" s="135"/>
      <c r="T85" s="135"/>
      <c r="U85" s="135"/>
    </row>
    <row r="86" spans="1:21" x14ac:dyDescent="0.25">
      <c r="A86" s="135"/>
      <c r="B86" s="135"/>
      <c r="C86" s="135"/>
      <c r="D86" s="135"/>
      <c r="E86" s="135"/>
      <c r="F86" s="135"/>
      <c r="G86" s="135"/>
      <c r="H86" s="135"/>
      <c r="I86" s="135"/>
      <c r="J86" s="135"/>
      <c r="K86" s="135"/>
      <c r="L86" s="135"/>
      <c r="M86" s="135"/>
      <c r="N86" s="135"/>
      <c r="O86" s="135"/>
      <c r="P86" s="135"/>
      <c r="Q86" s="135"/>
      <c r="R86" s="135"/>
      <c r="S86" s="135"/>
      <c r="T86" s="135"/>
      <c r="U86" s="135"/>
    </row>
    <row r="87" spans="1:21" x14ac:dyDescent="0.25">
      <c r="A87" s="135"/>
      <c r="B87" s="135"/>
      <c r="C87" s="135"/>
      <c r="D87" s="135"/>
      <c r="E87" s="135"/>
      <c r="F87" s="135"/>
      <c r="G87" s="135"/>
      <c r="H87" s="135"/>
      <c r="I87" s="135"/>
      <c r="J87" s="135"/>
      <c r="K87" s="135"/>
      <c r="L87" s="135"/>
      <c r="M87" s="135"/>
      <c r="N87" s="135"/>
      <c r="O87" s="135"/>
      <c r="P87" s="135"/>
      <c r="Q87" s="135"/>
      <c r="R87" s="135"/>
      <c r="S87" s="135"/>
      <c r="T87" s="135"/>
      <c r="U87" s="135"/>
    </row>
    <row r="88" spans="1:21" x14ac:dyDescent="0.25">
      <c r="A88" s="135"/>
      <c r="B88" s="135"/>
      <c r="C88" s="135"/>
      <c r="D88" s="135"/>
      <c r="E88" s="135"/>
      <c r="F88" s="135"/>
      <c r="G88" s="135"/>
      <c r="H88" s="135"/>
      <c r="I88" s="135"/>
      <c r="J88" s="135"/>
      <c r="K88" s="135"/>
      <c r="L88" s="135"/>
      <c r="M88" s="135"/>
      <c r="N88" s="135"/>
      <c r="O88" s="135"/>
      <c r="P88" s="135"/>
      <c r="Q88" s="135"/>
      <c r="R88" s="135"/>
      <c r="S88" s="135"/>
      <c r="T88" s="135"/>
      <c r="U88" s="135"/>
    </row>
    <row r="89" spans="1:21" x14ac:dyDescent="0.25">
      <c r="A89" s="135"/>
      <c r="B89" s="135"/>
      <c r="C89" s="135"/>
      <c r="D89" s="135"/>
      <c r="E89" s="135"/>
      <c r="F89" s="135"/>
      <c r="G89" s="135"/>
      <c r="H89" s="135"/>
      <c r="I89" s="135"/>
      <c r="J89" s="135"/>
      <c r="K89" s="135"/>
      <c r="L89" s="135"/>
      <c r="M89" s="135"/>
      <c r="N89" s="135"/>
      <c r="O89" s="135"/>
      <c r="P89" s="135"/>
      <c r="Q89" s="135"/>
      <c r="R89" s="135"/>
      <c r="S89" s="135"/>
      <c r="T89" s="135"/>
      <c r="U89" s="135"/>
    </row>
    <row r="90" spans="1:21" x14ac:dyDescent="0.25">
      <c r="A90" s="135"/>
      <c r="B90" s="135"/>
      <c r="C90" s="135"/>
      <c r="D90" s="135"/>
      <c r="E90" s="135"/>
      <c r="F90" s="135"/>
      <c r="G90" s="135"/>
      <c r="H90" s="135"/>
      <c r="I90" s="135"/>
      <c r="J90" s="135"/>
      <c r="K90" s="135"/>
      <c r="L90" s="135"/>
      <c r="M90" s="135"/>
      <c r="N90" s="135"/>
      <c r="O90" s="135"/>
      <c r="P90" s="135"/>
      <c r="Q90" s="135"/>
      <c r="R90" s="135"/>
      <c r="S90" s="135"/>
      <c r="T90" s="135"/>
      <c r="U90" s="135"/>
    </row>
    <row r="91" spans="1:21" x14ac:dyDescent="0.25">
      <c r="A91" s="135"/>
      <c r="B91" s="135"/>
      <c r="C91" s="135"/>
      <c r="D91" s="135"/>
      <c r="E91" s="135"/>
      <c r="F91" s="135"/>
      <c r="G91" s="135"/>
      <c r="H91" s="135"/>
      <c r="I91" s="135"/>
      <c r="J91" s="135"/>
      <c r="K91" s="135"/>
      <c r="L91" s="135"/>
      <c r="M91" s="135"/>
      <c r="N91" s="135"/>
      <c r="O91" s="135"/>
      <c r="P91" s="135"/>
      <c r="Q91" s="135"/>
      <c r="R91" s="135"/>
      <c r="S91" s="135"/>
      <c r="T91" s="135"/>
      <c r="U91" s="135"/>
    </row>
    <row r="92" spans="1:21" x14ac:dyDescent="0.25">
      <c r="A92" s="135"/>
      <c r="B92" s="135"/>
      <c r="C92" s="135"/>
      <c r="D92" s="135"/>
      <c r="E92" s="135"/>
      <c r="F92" s="135"/>
      <c r="G92" s="135"/>
      <c r="H92" s="135"/>
      <c r="I92" s="135"/>
      <c r="J92" s="135"/>
      <c r="K92" s="135"/>
      <c r="L92" s="135"/>
      <c r="M92" s="135"/>
      <c r="N92" s="135"/>
      <c r="O92" s="135"/>
      <c r="P92" s="135"/>
      <c r="Q92" s="135"/>
      <c r="R92" s="135"/>
      <c r="S92" s="135"/>
      <c r="T92" s="135"/>
      <c r="U92" s="135"/>
    </row>
    <row r="93" spans="1:21" x14ac:dyDescent="0.25">
      <c r="A93" s="135"/>
      <c r="B93" s="135"/>
      <c r="C93" s="135"/>
      <c r="D93" s="135"/>
      <c r="E93" s="135"/>
      <c r="F93" s="135"/>
      <c r="G93" s="135"/>
      <c r="H93" s="135"/>
      <c r="I93" s="135"/>
      <c r="J93" s="135"/>
      <c r="K93" s="135"/>
      <c r="L93" s="135"/>
      <c r="M93" s="135"/>
      <c r="N93" s="135"/>
      <c r="O93" s="135"/>
      <c r="P93" s="135"/>
      <c r="Q93" s="135"/>
      <c r="R93" s="135"/>
      <c r="S93" s="135"/>
      <c r="T93" s="135"/>
      <c r="U93" s="135"/>
    </row>
    <row r="94" spans="1:21" x14ac:dyDescent="0.25">
      <c r="A94" s="135"/>
      <c r="B94" s="135"/>
      <c r="C94" s="135"/>
      <c r="D94" s="135"/>
      <c r="E94" s="135"/>
      <c r="F94" s="135"/>
      <c r="G94" s="135"/>
      <c r="H94" s="135"/>
      <c r="I94" s="135"/>
      <c r="J94" s="135"/>
      <c r="K94" s="135"/>
      <c r="L94" s="135"/>
      <c r="M94" s="135"/>
      <c r="N94" s="135"/>
      <c r="O94" s="135"/>
      <c r="P94" s="135"/>
      <c r="Q94" s="135"/>
      <c r="R94" s="135"/>
      <c r="S94" s="135"/>
      <c r="T94" s="135"/>
      <c r="U94" s="135"/>
    </row>
    <row r="95" spans="1:21" x14ac:dyDescent="0.25">
      <c r="A95" s="135"/>
      <c r="B95" s="135"/>
      <c r="C95" s="135"/>
      <c r="D95" s="135"/>
      <c r="E95" s="135"/>
      <c r="F95" s="135"/>
      <c r="G95" s="135"/>
      <c r="H95" s="135"/>
      <c r="I95" s="135"/>
      <c r="J95" s="135"/>
      <c r="K95" s="135"/>
      <c r="L95" s="135"/>
      <c r="M95" s="135"/>
      <c r="N95" s="135"/>
      <c r="O95" s="135"/>
      <c r="P95" s="135"/>
      <c r="Q95" s="135"/>
      <c r="R95" s="135"/>
      <c r="S95" s="135"/>
      <c r="T95" s="135"/>
      <c r="U95" s="135"/>
    </row>
    <row r="96" spans="1:21" x14ac:dyDescent="0.25">
      <c r="A96" s="135"/>
      <c r="B96" s="135"/>
      <c r="C96" s="135"/>
      <c r="D96" s="135"/>
      <c r="E96" s="135"/>
      <c r="F96" s="135"/>
      <c r="G96" s="135"/>
      <c r="H96" s="135"/>
      <c r="I96" s="135"/>
      <c r="J96" s="135"/>
      <c r="K96" s="135"/>
      <c r="L96" s="135"/>
      <c r="M96" s="135"/>
      <c r="N96" s="135"/>
      <c r="O96" s="135"/>
      <c r="P96" s="135"/>
      <c r="Q96" s="135"/>
      <c r="R96" s="135"/>
      <c r="S96" s="135"/>
      <c r="T96" s="135"/>
      <c r="U96" s="135"/>
    </row>
    <row r="97" spans="1:21" x14ac:dyDescent="0.25">
      <c r="A97" s="135"/>
      <c r="B97" s="135"/>
      <c r="C97" s="135"/>
      <c r="D97" s="135"/>
      <c r="E97" s="135"/>
      <c r="F97" s="135"/>
      <c r="G97" s="135"/>
      <c r="H97" s="135"/>
      <c r="I97" s="135"/>
      <c r="J97" s="135"/>
      <c r="K97" s="135"/>
      <c r="L97" s="135"/>
      <c r="M97" s="135"/>
      <c r="N97" s="135"/>
      <c r="O97" s="135"/>
      <c r="P97" s="135"/>
      <c r="Q97" s="135"/>
      <c r="R97" s="135"/>
      <c r="S97" s="135"/>
      <c r="T97" s="135"/>
      <c r="U97" s="135"/>
    </row>
    <row r="98" spans="1:21" x14ac:dyDescent="0.25">
      <c r="A98" s="135"/>
      <c r="B98" s="135"/>
      <c r="C98" s="135"/>
      <c r="D98" s="135"/>
      <c r="E98" s="135"/>
      <c r="F98" s="135"/>
      <c r="G98" s="135"/>
      <c r="H98" s="135"/>
      <c r="I98" s="135"/>
      <c r="J98" s="135"/>
      <c r="K98" s="135"/>
      <c r="L98" s="135"/>
      <c r="M98" s="135"/>
      <c r="N98" s="135"/>
      <c r="O98" s="135"/>
      <c r="P98" s="135"/>
      <c r="Q98" s="135"/>
      <c r="R98" s="135"/>
      <c r="S98" s="135"/>
      <c r="T98" s="135"/>
      <c r="U98" s="135"/>
    </row>
    <row r="99" spans="1:21" x14ac:dyDescent="0.25">
      <c r="A99" s="135"/>
      <c r="B99" s="135"/>
      <c r="C99" s="135"/>
      <c r="D99" s="135"/>
      <c r="E99" s="135"/>
      <c r="F99" s="135"/>
      <c r="G99" s="135"/>
      <c r="H99" s="135"/>
      <c r="I99" s="135"/>
      <c r="J99" s="135"/>
      <c r="K99" s="135"/>
      <c r="L99" s="135"/>
      <c r="M99" s="135"/>
      <c r="N99" s="135"/>
      <c r="O99" s="135"/>
      <c r="P99" s="135"/>
      <c r="Q99" s="135"/>
      <c r="R99" s="135"/>
      <c r="S99" s="135"/>
      <c r="T99" s="135"/>
      <c r="U99" s="135"/>
    </row>
    <row r="100" spans="1:21"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row>
    <row r="101" spans="1:21"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row>
    <row r="102" spans="1:21"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row>
    <row r="103" spans="1:21"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row>
    <row r="104" spans="1:21"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row>
    <row r="105" spans="1:21"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row>
    <row r="106" spans="1:21"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row>
    <row r="107" spans="1:21"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row>
    <row r="108" spans="1:21"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row>
    <row r="109" spans="1:21"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row>
    <row r="110" spans="1:21"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row>
    <row r="111" spans="1:21"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row>
    <row r="112" spans="1:21"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row>
    <row r="113" spans="1:21"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row>
    <row r="114" spans="1:21"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row>
    <row r="115" spans="1:21"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row>
    <row r="116" spans="1:21"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row>
    <row r="117" spans="1:21"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row>
    <row r="118" spans="1:21"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row>
    <row r="119" spans="1:21"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row>
    <row r="120" spans="1:21"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row>
    <row r="121" spans="1:21"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row>
    <row r="122" spans="1:21"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row>
    <row r="123" spans="1:21"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row>
    <row r="124" spans="1:21"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row>
    <row r="125" spans="1:21"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row>
    <row r="126" spans="1:21"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row>
    <row r="127" spans="1:21"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row>
    <row r="128" spans="1:21"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row>
    <row r="129" spans="1:21"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row>
    <row r="130" spans="1:21"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row>
    <row r="131" spans="1:21"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row>
    <row r="132" spans="1:21"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row>
    <row r="133" spans="1:21"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row>
    <row r="134" spans="1:21"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row>
    <row r="135" spans="1:21"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row>
    <row r="136" spans="1:21"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row>
    <row r="137" spans="1:21"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row>
    <row r="138" spans="1:21"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row>
    <row r="139" spans="1:21"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row>
    <row r="140" spans="1:21"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row>
    <row r="141" spans="1:21"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row>
    <row r="142" spans="1:21"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row>
    <row r="143" spans="1:21"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row>
    <row r="144" spans="1:21"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row>
    <row r="145" spans="1:21"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row>
    <row r="146" spans="1:21"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row>
    <row r="147" spans="1:21"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row>
    <row r="148" spans="1:21"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row>
    <row r="149" spans="1:21"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row>
    <row r="150" spans="1:21"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row>
    <row r="151" spans="1:21"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row>
    <row r="152" spans="1:21"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row>
    <row r="153" spans="1:21"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row>
    <row r="154" spans="1:21"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row>
    <row r="155" spans="1:21"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row>
    <row r="156" spans="1:21"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row>
    <row r="157" spans="1:21"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row>
    <row r="158" spans="1:21"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row>
    <row r="159" spans="1:21"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row>
    <row r="160" spans="1:21"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row>
    <row r="161" spans="1:21"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row>
    <row r="162" spans="1:21"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row>
    <row r="163" spans="1:21"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row>
    <row r="164" spans="1:21"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row>
    <row r="165" spans="1:21"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row>
    <row r="166" spans="1:21"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row>
    <row r="167" spans="1:21"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row>
    <row r="168" spans="1:21"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row>
    <row r="169" spans="1:21"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row>
    <row r="170" spans="1:21"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row>
    <row r="171" spans="1:21"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row>
    <row r="172" spans="1:21"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row>
    <row r="173" spans="1:21"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row>
    <row r="174" spans="1:21"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row>
    <row r="175" spans="1:21"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row>
    <row r="176" spans="1:21"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row>
    <row r="177" spans="1:21"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row>
    <row r="178" spans="1:21"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row>
    <row r="179" spans="1:21"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row>
    <row r="180" spans="1:21"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row>
    <row r="181" spans="1:21"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row>
    <row r="182" spans="1:21"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row>
    <row r="183" spans="1:21"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row>
    <row r="184" spans="1:21"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row>
    <row r="185" spans="1:21"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row>
    <row r="186" spans="1:21"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row>
    <row r="187" spans="1:21"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row>
    <row r="188" spans="1:21"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row>
    <row r="189" spans="1:21"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row>
    <row r="190" spans="1:21"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row>
    <row r="191" spans="1:21"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row>
    <row r="192" spans="1:21"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row>
    <row r="193" spans="1:21"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row>
    <row r="194" spans="1:21"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row>
    <row r="195" spans="1:21"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row>
    <row r="196" spans="1:21"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row>
    <row r="197" spans="1:21"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row>
    <row r="198" spans="1:21"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row>
    <row r="199" spans="1:21"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row>
    <row r="200" spans="1:21"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row>
    <row r="201" spans="1:21"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row>
    <row r="202" spans="1:21"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row>
    <row r="203" spans="1:21"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row>
    <row r="204" spans="1:21"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row>
    <row r="205" spans="1:21"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row>
    <row r="206" spans="1:21"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row>
    <row r="207" spans="1:21"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row>
    <row r="208" spans="1:21"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row>
    <row r="209" spans="1:21"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row>
    <row r="210" spans="1:21"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row>
    <row r="211" spans="1:21"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row>
    <row r="212" spans="1:21"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row>
    <row r="213" spans="1:21"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row>
    <row r="214" spans="1:21"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row>
    <row r="215" spans="1:21"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row>
    <row r="216" spans="1:21"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row>
    <row r="217" spans="1:21"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row>
    <row r="218" spans="1:21"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row>
    <row r="219" spans="1:21"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row>
    <row r="220" spans="1:21"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row>
    <row r="221" spans="1:21"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row>
    <row r="222" spans="1:21"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row>
    <row r="223" spans="1:21"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row>
    <row r="224" spans="1:21"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row>
    <row r="225" spans="1:21"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row>
    <row r="226" spans="1:21"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row>
    <row r="227" spans="1:21"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row>
    <row r="228" spans="1:21"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row>
    <row r="229" spans="1:21"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row>
    <row r="230" spans="1:21"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row>
    <row r="231" spans="1:21"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row>
    <row r="232" spans="1:21"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row>
    <row r="233" spans="1:21"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row>
    <row r="234" spans="1:21"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row>
    <row r="235" spans="1:21"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row>
    <row r="236" spans="1:21"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row>
    <row r="237" spans="1:21"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row>
    <row r="238" spans="1:21"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row>
    <row r="239" spans="1:21"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row>
    <row r="240" spans="1:21"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row>
    <row r="241" spans="1:21"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row>
    <row r="242" spans="1:21"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row>
    <row r="243" spans="1:21"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row>
    <row r="244" spans="1:21"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row>
    <row r="245" spans="1:21"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row>
    <row r="246" spans="1:21"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row>
    <row r="247" spans="1:21"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row>
    <row r="248" spans="1:21"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row>
    <row r="249" spans="1:21"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row>
    <row r="250" spans="1:21"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row>
    <row r="251" spans="1:21"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row>
    <row r="252" spans="1:21"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row>
    <row r="253" spans="1:21"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row>
    <row r="254" spans="1:21"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row>
    <row r="255" spans="1:21"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row>
    <row r="256" spans="1:21"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row>
    <row r="257" spans="1:21"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row>
    <row r="258" spans="1:21"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row>
    <row r="259" spans="1:21"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row>
    <row r="260" spans="1:21"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row>
    <row r="261" spans="1:21"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row>
    <row r="262" spans="1:21"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row>
    <row r="263" spans="1:21"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row>
    <row r="264" spans="1:21"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row>
    <row r="265" spans="1:21"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row>
    <row r="266" spans="1:21"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row>
    <row r="267" spans="1:21"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row>
    <row r="268" spans="1:21"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row>
    <row r="269" spans="1:21"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row>
    <row r="270" spans="1:21"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row>
    <row r="271" spans="1:21"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row>
    <row r="272" spans="1:21"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row>
    <row r="273" spans="1:21"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row>
    <row r="274" spans="1:21"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row>
    <row r="275" spans="1:21"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row>
    <row r="276" spans="1:21"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row>
    <row r="277" spans="1:21"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row>
    <row r="278" spans="1:21"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row>
    <row r="279" spans="1:21"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row>
    <row r="280" spans="1:21"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row>
    <row r="281" spans="1:21"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row>
    <row r="282" spans="1:21"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row>
    <row r="283" spans="1:21"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row>
    <row r="284" spans="1:21"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row>
    <row r="285" spans="1:21"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row>
    <row r="286" spans="1:21"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row>
    <row r="287" spans="1:21"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row>
    <row r="288" spans="1:21"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row>
    <row r="289" spans="1:21"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row>
    <row r="290" spans="1:21"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row>
    <row r="291" spans="1:21"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row>
    <row r="292" spans="1:21"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row>
    <row r="293" spans="1:21"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row>
    <row r="294" spans="1:21"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row>
    <row r="295" spans="1:21"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row>
    <row r="296" spans="1:21"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row>
    <row r="297" spans="1:21"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row>
    <row r="298" spans="1:21"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row>
    <row r="299" spans="1:21"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row>
    <row r="300" spans="1:21"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row>
    <row r="301" spans="1:21"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row>
    <row r="302" spans="1:21"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row>
    <row r="303" spans="1:21"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row>
    <row r="304" spans="1:21"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row>
    <row r="305" spans="1:21"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row>
    <row r="306" spans="1:21"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row>
    <row r="307" spans="1:21"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row>
    <row r="308" spans="1:21"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row>
    <row r="309" spans="1:21"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row>
    <row r="310" spans="1:21"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row>
    <row r="311" spans="1:21"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row>
    <row r="312" spans="1:21"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row>
    <row r="313" spans="1:21"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row>
    <row r="314" spans="1:21"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row>
    <row r="315" spans="1:21"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row>
    <row r="316" spans="1:21"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row>
    <row r="317" spans="1:21"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row>
    <row r="318" spans="1:21"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row>
    <row r="319" spans="1:21"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row>
    <row r="320" spans="1:21"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row>
    <row r="321" spans="1:21"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row>
    <row r="322" spans="1:21"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row>
    <row r="323" spans="1:21"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row>
    <row r="324" spans="1:21"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row>
    <row r="325" spans="1:21"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row>
    <row r="326" spans="1:21"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row>
    <row r="327" spans="1:21"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row>
    <row r="328" spans="1:21"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row>
    <row r="329" spans="1:21"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row>
    <row r="330" spans="1:21"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row>
    <row r="331" spans="1:21"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row>
    <row r="332" spans="1:21"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row>
    <row r="333" spans="1:21"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row>
    <row r="334" spans="1:21"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row>
    <row r="335" spans="1:21"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row>
    <row r="336" spans="1:21"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row>
    <row r="337" spans="1:21"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row>
    <row r="338" spans="1:21"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row>
    <row r="339" spans="1:21"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row>
    <row r="340" spans="1:21"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row>
    <row r="341" spans="1:21"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row>
    <row r="342" spans="1:21"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row>
    <row r="343" spans="1:21"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row>
    <row r="344" spans="1:21"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row>
    <row r="345" spans="1:21"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row>
    <row r="346" spans="1:21"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row>
    <row r="347" spans="1:21"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row>
    <row r="348" spans="1:21"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row>
    <row r="349" spans="1:21"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row>
    <row r="350" spans="1:21"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row>
    <row r="351" spans="1:21"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row>
    <row r="352" spans="1:21"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row>
    <row r="353" spans="1:21"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row>
    <row r="354" spans="1:21"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row>
    <row r="355" spans="1:21"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row>
    <row r="356" spans="1:21"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row>
    <row r="357" spans="1:21"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row>
    <row r="358" spans="1:21"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row>
    <row r="359" spans="1:21"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row>
    <row r="360" spans="1:21"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row>
    <row r="361" spans="1:21" x14ac:dyDescent="0.25">
      <c r="A361" s="135"/>
      <c r="B361" s="135"/>
      <c r="C361" s="135"/>
      <c r="D361" s="135"/>
      <c r="E361" s="135"/>
      <c r="F361" s="135"/>
      <c r="G361" s="135"/>
      <c r="H361" s="135"/>
      <c r="I361" s="135"/>
      <c r="J361" s="135"/>
      <c r="K361" s="135"/>
      <c r="L361" s="135"/>
      <c r="M361" s="135"/>
      <c r="N361" s="135"/>
      <c r="O361" s="135"/>
      <c r="P361" s="135"/>
      <c r="Q361" s="135"/>
      <c r="R361" s="135"/>
      <c r="S361" s="135"/>
      <c r="T361" s="135"/>
      <c r="U361" s="135"/>
    </row>
    <row r="362" spans="1:21" x14ac:dyDescent="0.25">
      <c r="A362" s="135"/>
      <c r="B362" s="135"/>
      <c r="C362" s="135"/>
      <c r="D362" s="135"/>
      <c r="E362" s="135"/>
      <c r="F362" s="135"/>
      <c r="G362" s="135"/>
      <c r="H362" s="135"/>
      <c r="I362" s="135"/>
      <c r="J362" s="135"/>
      <c r="K362" s="135"/>
      <c r="L362" s="135"/>
      <c r="M362" s="135"/>
      <c r="N362" s="135"/>
      <c r="O362" s="135"/>
      <c r="P362" s="135"/>
      <c r="Q362" s="135"/>
      <c r="R362" s="135"/>
      <c r="S362" s="135"/>
      <c r="T362" s="135"/>
      <c r="U362" s="135"/>
    </row>
    <row r="363" spans="1:21" x14ac:dyDescent="0.25">
      <c r="A363" s="135"/>
      <c r="B363" s="135"/>
      <c r="C363" s="135"/>
      <c r="D363" s="135"/>
      <c r="E363" s="135"/>
      <c r="F363" s="135"/>
      <c r="G363" s="135"/>
      <c r="H363" s="135"/>
      <c r="I363" s="135"/>
      <c r="J363" s="135"/>
      <c r="K363" s="135"/>
      <c r="L363" s="135"/>
      <c r="M363" s="135"/>
      <c r="N363" s="135"/>
      <c r="O363" s="135"/>
      <c r="P363" s="135"/>
      <c r="Q363" s="135"/>
      <c r="R363" s="135"/>
      <c r="S363" s="135"/>
      <c r="T363" s="135"/>
      <c r="U363" s="135"/>
    </row>
    <row r="364" spans="1:21" x14ac:dyDescent="0.25">
      <c r="A364" s="135"/>
      <c r="B364" s="135"/>
      <c r="C364" s="135"/>
      <c r="D364" s="135"/>
      <c r="E364" s="135"/>
      <c r="F364" s="135"/>
      <c r="G364" s="135"/>
      <c r="H364" s="135"/>
      <c r="I364" s="135"/>
      <c r="J364" s="135"/>
      <c r="K364" s="135"/>
      <c r="L364" s="135"/>
      <c r="M364" s="135"/>
      <c r="N364" s="135"/>
      <c r="O364" s="135"/>
      <c r="P364" s="135"/>
      <c r="Q364" s="135"/>
      <c r="R364" s="135"/>
      <c r="S364" s="135"/>
      <c r="T364" s="135"/>
      <c r="U364" s="135"/>
    </row>
    <row r="365" spans="1:21" x14ac:dyDescent="0.25">
      <c r="A365" s="135"/>
      <c r="B365" s="135"/>
      <c r="C365" s="135"/>
      <c r="D365" s="135"/>
      <c r="E365" s="135"/>
      <c r="F365" s="135"/>
      <c r="G365" s="135"/>
      <c r="H365" s="135"/>
      <c r="I365" s="135"/>
      <c r="J365" s="135"/>
      <c r="K365" s="135"/>
      <c r="L365" s="135"/>
      <c r="M365" s="135"/>
      <c r="N365" s="135"/>
      <c r="O365" s="135"/>
      <c r="P365" s="135"/>
      <c r="Q365" s="135"/>
      <c r="R365" s="135"/>
      <c r="S365" s="135"/>
      <c r="T365" s="135"/>
      <c r="U365" s="135"/>
    </row>
    <row r="366" spans="1:21" x14ac:dyDescent="0.25">
      <c r="A366" s="135"/>
      <c r="B366" s="135"/>
      <c r="C366" s="135"/>
      <c r="D366" s="135"/>
      <c r="E366" s="135"/>
      <c r="F366" s="135"/>
      <c r="G366" s="135"/>
      <c r="H366" s="135"/>
      <c r="I366" s="135"/>
      <c r="J366" s="135"/>
      <c r="K366" s="135"/>
      <c r="L366" s="135"/>
      <c r="M366" s="135"/>
      <c r="N366" s="135"/>
      <c r="O366" s="135"/>
      <c r="P366" s="135"/>
      <c r="Q366" s="135"/>
      <c r="R366" s="135"/>
      <c r="S366" s="135"/>
      <c r="T366" s="135"/>
      <c r="U366" s="135"/>
    </row>
    <row r="367" spans="1:21" x14ac:dyDescent="0.25">
      <c r="A367" s="135"/>
      <c r="B367" s="135"/>
      <c r="C367" s="135"/>
      <c r="D367" s="135"/>
      <c r="E367" s="135"/>
      <c r="F367" s="135"/>
      <c r="G367" s="135"/>
      <c r="H367" s="135"/>
      <c r="I367" s="135"/>
      <c r="J367" s="135"/>
      <c r="K367" s="135"/>
      <c r="L367" s="135"/>
      <c r="M367" s="135"/>
      <c r="N367" s="135"/>
      <c r="O367" s="135"/>
      <c r="P367" s="135"/>
      <c r="Q367" s="135"/>
      <c r="R367" s="135"/>
      <c r="S367" s="135"/>
      <c r="T367" s="135"/>
      <c r="U367" s="135"/>
    </row>
    <row r="368" spans="1:21" x14ac:dyDescent="0.25">
      <c r="A368" s="135"/>
      <c r="B368" s="135"/>
      <c r="C368" s="135"/>
      <c r="D368" s="135"/>
      <c r="E368" s="135"/>
      <c r="F368" s="135"/>
      <c r="G368" s="135"/>
      <c r="H368" s="135"/>
      <c r="I368" s="135"/>
      <c r="J368" s="135"/>
      <c r="K368" s="135"/>
      <c r="L368" s="135"/>
      <c r="M368" s="135"/>
      <c r="N368" s="135"/>
      <c r="O368" s="135"/>
      <c r="P368" s="135"/>
      <c r="Q368" s="135"/>
      <c r="R368" s="135"/>
      <c r="S368" s="135"/>
      <c r="T368" s="135"/>
      <c r="U368" s="135"/>
    </row>
    <row r="369" spans="1:21" x14ac:dyDescent="0.25">
      <c r="A369" s="135"/>
      <c r="B369" s="135"/>
      <c r="C369" s="135"/>
      <c r="D369" s="135"/>
      <c r="E369" s="135"/>
      <c r="F369" s="135"/>
      <c r="G369" s="135"/>
      <c r="H369" s="135"/>
      <c r="I369" s="135"/>
      <c r="J369" s="135"/>
      <c r="K369" s="135"/>
      <c r="L369" s="135"/>
      <c r="M369" s="135"/>
      <c r="N369" s="135"/>
      <c r="O369" s="135"/>
      <c r="P369" s="135"/>
      <c r="Q369" s="135"/>
      <c r="R369" s="135"/>
      <c r="S369" s="135"/>
      <c r="T369" s="135"/>
      <c r="U369" s="135"/>
    </row>
    <row r="370" spans="1:21" x14ac:dyDescent="0.25">
      <c r="A370" s="135"/>
      <c r="B370" s="135"/>
      <c r="C370" s="135"/>
      <c r="D370" s="135"/>
      <c r="E370" s="135"/>
      <c r="F370" s="135"/>
      <c r="G370" s="135"/>
      <c r="H370" s="135"/>
      <c r="I370" s="135"/>
      <c r="J370" s="135"/>
      <c r="K370" s="135"/>
      <c r="L370" s="135"/>
      <c r="M370" s="135"/>
      <c r="N370" s="135"/>
      <c r="O370" s="135"/>
      <c r="P370" s="135"/>
      <c r="Q370" s="135"/>
      <c r="R370" s="135"/>
      <c r="S370" s="135"/>
      <c r="T370" s="135"/>
      <c r="U370" s="135"/>
    </row>
    <row r="371" spans="1:21" x14ac:dyDescent="0.25">
      <c r="A371" s="135"/>
      <c r="B371" s="135"/>
      <c r="C371" s="135"/>
      <c r="D371" s="135"/>
      <c r="E371" s="135"/>
      <c r="F371" s="135"/>
      <c r="G371" s="135"/>
      <c r="H371" s="135"/>
      <c r="I371" s="135"/>
      <c r="J371" s="135"/>
      <c r="K371" s="135"/>
      <c r="L371" s="135"/>
      <c r="M371" s="135"/>
      <c r="N371" s="135"/>
      <c r="O371" s="135"/>
      <c r="P371" s="135"/>
      <c r="Q371" s="135"/>
      <c r="R371" s="135"/>
      <c r="S371" s="135"/>
      <c r="T371" s="135"/>
      <c r="U371" s="135"/>
    </row>
    <row r="372" spans="1:21" x14ac:dyDescent="0.25">
      <c r="A372" s="135"/>
      <c r="B372" s="135"/>
      <c r="C372" s="135"/>
      <c r="D372" s="135"/>
      <c r="E372" s="135"/>
      <c r="F372" s="135"/>
      <c r="G372" s="135"/>
      <c r="H372" s="135"/>
      <c r="I372" s="135"/>
      <c r="J372" s="135"/>
      <c r="K372" s="135"/>
      <c r="L372" s="135"/>
      <c r="M372" s="135"/>
      <c r="N372" s="135"/>
      <c r="O372" s="135"/>
      <c r="P372" s="135"/>
      <c r="Q372" s="135"/>
      <c r="R372" s="135"/>
      <c r="S372" s="135"/>
      <c r="T372" s="135"/>
      <c r="U372" s="135"/>
    </row>
    <row r="373" spans="1:21" x14ac:dyDescent="0.25">
      <c r="A373" s="135"/>
      <c r="B373" s="135"/>
      <c r="C373" s="135"/>
      <c r="D373" s="135"/>
      <c r="E373" s="135"/>
      <c r="F373" s="135"/>
      <c r="G373" s="135"/>
      <c r="H373" s="135"/>
      <c r="I373" s="135"/>
      <c r="J373" s="135"/>
      <c r="K373" s="135"/>
      <c r="L373" s="135"/>
      <c r="M373" s="135"/>
      <c r="N373" s="135"/>
      <c r="O373" s="135"/>
      <c r="P373" s="135"/>
      <c r="Q373" s="135"/>
      <c r="R373" s="135"/>
      <c r="S373" s="135"/>
      <c r="T373" s="135"/>
      <c r="U373" s="135"/>
    </row>
    <row r="374" spans="1:21" x14ac:dyDescent="0.25">
      <c r="A374" s="135"/>
      <c r="B374" s="135"/>
      <c r="C374" s="135"/>
      <c r="D374" s="135"/>
      <c r="E374" s="135"/>
      <c r="F374" s="135"/>
      <c r="G374" s="135"/>
      <c r="H374" s="135"/>
      <c r="I374" s="135"/>
      <c r="J374" s="135"/>
      <c r="K374" s="135"/>
      <c r="L374" s="135"/>
      <c r="M374" s="135"/>
      <c r="N374" s="135"/>
      <c r="O374" s="135"/>
      <c r="P374" s="135"/>
      <c r="Q374" s="135"/>
      <c r="R374" s="135"/>
      <c r="S374" s="135"/>
      <c r="T374" s="135"/>
      <c r="U374" s="135"/>
    </row>
    <row r="375" spans="1:21" x14ac:dyDescent="0.25">
      <c r="A375" s="135"/>
      <c r="B375" s="135"/>
      <c r="C375" s="135"/>
      <c r="D375" s="135"/>
      <c r="E375" s="135"/>
      <c r="F375" s="135"/>
      <c r="G375" s="135"/>
      <c r="H375" s="135"/>
      <c r="I375" s="135"/>
      <c r="J375" s="135"/>
      <c r="K375" s="135"/>
      <c r="L375" s="135"/>
      <c r="M375" s="135"/>
      <c r="N375" s="135"/>
      <c r="O375" s="135"/>
      <c r="P375" s="135"/>
      <c r="Q375" s="135"/>
      <c r="R375" s="135"/>
      <c r="S375" s="135"/>
      <c r="T375" s="135"/>
      <c r="U375" s="135"/>
    </row>
    <row r="376" spans="1:21" x14ac:dyDescent="0.25">
      <c r="A376" s="135"/>
      <c r="B376" s="135"/>
      <c r="C376" s="135"/>
      <c r="D376" s="135"/>
      <c r="E376" s="135"/>
      <c r="F376" s="135"/>
      <c r="G376" s="135"/>
      <c r="H376" s="135"/>
      <c r="I376" s="135"/>
      <c r="J376" s="135"/>
      <c r="K376" s="135"/>
      <c r="L376" s="135"/>
      <c r="M376" s="135"/>
      <c r="N376" s="135"/>
      <c r="O376" s="135"/>
      <c r="P376" s="135"/>
      <c r="Q376" s="135"/>
      <c r="R376" s="135"/>
      <c r="S376" s="135"/>
      <c r="T376" s="135"/>
      <c r="U376" s="135"/>
    </row>
    <row r="377" spans="1:21" x14ac:dyDescent="0.25">
      <c r="A377" s="135"/>
      <c r="B377" s="135"/>
      <c r="C377" s="135"/>
      <c r="D377" s="135"/>
      <c r="E377" s="135"/>
      <c r="F377" s="135"/>
      <c r="G377" s="135"/>
      <c r="H377" s="135"/>
      <c r="I377" s="135"/>
      <c r="J377" s="135"/>
      <c r="K377" s="135"/>
      <c r="L377" s="135"/>
      <c r="M377" s="135"/>
      <c r="N377" s="135"/>
      <c r="O377" s="135"/>
      <c r="P377" s="135"/>
      <c r="Q377" s="135"/>
      <c r="R377" s="135"/>
      <c r="S377" s="135"/>
      <c r="T377" s="135"/>
      <c r="U377" s="135"/>
    </row>
    <row r="378" spans="1:21" x14ac:dyDescent="0.25">
      <c r="A378" s="135"/>
      <c r="B378" s="135"/>
      <c r="C378" s="135"/>
      <c r="D378" s="135"/>
      <c r="E378" s="135"/>
      <c r="F378" s="135"/>
      <c r="G378" s="135"/>
      <c r="H378" s="135"/>
      <c r="I378" s="135"/>
      <c r="J378" s="135"/>
      <c r="K378" s="135"/>
      <c r="L378" s="135"/>
      <c r="M378" s="135"/>
      <c r="N378" s="135"/>
      <c r="O378" s="135"/>
      <c r="P378" s="135"/>
      <c r="Q378" s="135"/>
      <c r="R378" s="135"/>
      <c r="S378" s="135"/>
      <c r="T378" s="135"/>
      <c r="U378" s="135"/>
    </row>
    <row r="379" spans="1:21" x14ac:dyDescent="0.25">
      <c r="A379" s="135"/>
      <c r="B379" s="135"/>
      <c r="C379" s="135"/>
      <c r="D379" s="135"/>
      <c r="E379" s="135"/>
      <c r="F379" s="135"/>
      <c r="G379" s="135"/>
      <c r="H379" s="135"/>
      <c r="I379" s="135"/>
      <c r="J379" s="135"/>
      <c r="K379" s="135"/>
      <c r="L379" s="135"/>
      <c r="M379" s="135"/>
      <c r="N379" s="135"/>
      <c r="O379" s="135"/>
      <c r="P379" s="135"/>
      <c r="Q379" s="135"/>
      <c r="R379" s="135"/>
      <c r="S379" s="135"/>
      <c r="T379" s="135"/>
      <c r="U379" s="135"/>
    </row>
    <row r="380" spans="1:21" x14ac:dyDescent="0.25">
      <c r="A380" s="135"/>
      <c r="B380" s="135"/>
      <c r="C380" s="135"/>
      <c r="D380" s="135"/>
      <c r="E380" s="135"/>
      <c r="F380" s="135"/>
      <c r="G380" s="135"/>
      <c r="H380" s="135"/>
      <c r="I380" s="135"/>
      <c r="J380" s="135"/>
      <c r="K380" s="135"/>
      <c r="L380" s="135"/>
      <c r="M380" s="135"/>
      <c r="N380" s="135"/>
      <c r="O380" s="135"/>
      <c r="P380" s="135"/>
      <c r="Q380" s="135"/>
      <c r="R380" s="135"/>
      <c r="S380" s="135"/>
      <c r="T380" s="135"/>
      <c r="U380" s="135"/>
    </row>
    <row r="381" spans="1:21" x14ac:dyDescent="0.25">
      <c r="A381" s="135"/>
      <c r="B381" s="135"/>
      <c r="C381" s="135"/>
      <c r="D381" s="135"/>
      <c r="E381" s="135"/>
      <c r="F381" s="135"/>
      <c r="G381" s="135"/>
      <c r="H381" s="135"/>
      <c r="I381" s="135"/>
      <c r="J381" s="135"/>
      <c r="K381" s="135"/>
      <c r="L381" s="135"/>
      <c r="M381" s="135"/>
      <c r="N381" s="135"/>
      <c r="O381" s="135"/>
      <c r="P381" s="135"/>
      <c r="Q381" s="135"/>
      <c r="R381" s="135"/>
      <c r="S381" s="135"/>
      <c r="T381" s="135"/>
      <c r="U381" s="135"/>
    </row>
    <row r="382" spans="1:21" x14ac:dyDescent="0.25">
      <c r="A382" s="135"/>
      <c r="B382" s="135"/>
      <c r="C382" s="135"/>
      <c r="D382" s="135"/>
      <c r="E382" s="135"/>
      <c r="F382" s="135"/>
      <c r="G382" s="135"/>
      <c r="H382" s="135"/>
      <c r="I382" s="135"/>
      <c r="J382" s="135"/>
      <c r="K382" s="135"/>
      <c r="L382" s="135"/>
      <c r="M382" s="135"/>
      <c r="N382" s="135"/>
      <c r="O382" s="135"/>
      <c r="P382" s="135"/>
      <c r="Q382" s="135"/>
      <c r="R382" s="135"/>
      <c r="S382" s="135"/>
      <c r="T382" s="135"/>
      <c r="U382" s="135"/>
    </row>
  </sheetData>
  <mergeCells count="13">
    <mergeCell ref="A15:C15"/>
    <mergeCell ref="A16:C16"/>
    <mergeCell ref="A17:C17"/>
    <mergeCell ref="A18:C18"/>
    <mergeCell ref="A12:C12"/>
    <mergeCell ref="A13:C13"/>
    <mergeCell ref="A14:C14"/>
    <mergeCell ref="A11:C11"/>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opLeftCell="A4" zoomScale="70" zoomScaleNormal="70" workbookViewId="0">
      <selection activeCell="B66" sqref="B66"/>
    </sheetView>
  </sheetViews>
  <sheetFormatPr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hidden="1" customWidth="1"/>
    <col min="16" max="16" width="8.7109375" style="115" hidden="1" customWidth="1"/>
    <col min="17" max="17" width="12.7109375" style="115" hidden="1" customWidth="1"/>
    <col min="18" max="18" width="0" style="115" hidden="1" customWidth="1"/>
    <col min="19" max="19" width="17" style="115" hidden="1" customWidth="1"/>
    <col min="20" max="21" width="12" style="115" hidden="1" customWidth="1"/>
    <col min="22" max="22" width="11" style="115" hidden="1" customWidth="1"/>
    <col min="23" max="25" width="17.7109375" style="115" hidden="1" customWidth="1"/>
    <col min="26" max="26" width="46.5703125" style="115" hidden="1" customWidth="1"/>
    <col min="27" max="28" width="12.28515625" style="115" customWidth="1"/>
    <col min="29" max="16384" width="9.140625" style="115"/>
  </cols>
  <sheetData>
    <row r="1" spans="1:28" ht="18.75" x14ac:dyDescent="0.25">
      <c r="Z1" s="40" t="s">
        <v>23</v>
      </c>
    </row>
    <row r="2" spans="1:28" ht="18.75" x14ac:dyDescent="0.3">
      <c r="Z2" s="41" t="s">
        <v>7</v>
      </c>
    </row>
    <row r="3" spans="1:28" ht="18.75" x14ac:dyDescent="0.3">
      <c r="Z3" s="41" t="s">
        <v>22</v>
      </c>
    </row>
    <row r="4" spans="1:28" ht="18.75" customHeight="1" x14ac:dyDescent="0.25">
      <c r="A4" s="209" t="str">
        <f>'1. паспорт местоположение'!$A$5</f>
        <v>Год раскрытия информации: 2019 год</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28" t="s">
        <v>6</v>
      </c>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122"/>
      <c r="AB6" s="122"/>
    </row>
    <row r="7" spans="1:28" ht="18.75" x14ac:dyDescent="0.25">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122"/>
      <c r="AB7" s="122"/>
    </row>
    <row r="8" spans="1:28" ht="18.75" x14ac:dyDescent="0.25">
      <c r="A8" s="219" t="s">
        <v>252</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124"/>
      <c r="AB8" s="124"/>
    </row>
    <row r="9" spans="1:28" ht="15.75"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6"/>
      <c r="AB9" s="126"/>
    </row>
    <row r="10" spans="1:28" ht="18.75" x14ac:dyDescent="0.25">
      <c r="A10" s="228"/>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122"/>
      <c r="AB10" s="122"/>
    </row>
    <row r="11" spans="1:28" ht="18.75" x14ac:dyDescent="0.25">
      <c r="A11" s="219" t="str">
        <f>'3.3 паспорт описание'!A12:C12</f>
        <v>I_Che134</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124"/>
      <c r="AB11" s="124"/>
    </row>
    <row r="12" spans="1:28" ht="15.75" x14ac:dyDescent="0.25">
      <c r="A12" s="220" t="s">
        <v>4</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6"/>
      <c r="AB12" s="126"/>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7"/>
      <c r="AB13" s="137"/>
    </row>
    <row r="14" spans="1:28" ht="18.75" x14ac:dyDescent="0.25">
      <c r="A14" s="230"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124"/>
      <c r="AB14" s="124"/>
    </row>
    <row r="15" spans="1:28" ht="15.75" x14ac:dyDescent="0.25">
      <c r="A15" s="220" t="s">
        <v>3</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6"/>
      <c r="AB15" s="126"/>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50"/>
      <c r="AB16" s="50"/>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50"/>
      <c r="AB17" s="50"/>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50"/>
      <c r="AB18" s="50"/>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50"/>
      <c r="AB19" s="50"/>
    </row>
    <row r="20" spans="1:28" x14ac:dyDescent="0.2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50"/>
      <c r="AB20" s="50"/>
    </row>
    <row r="21" spans="1:28" x14ac:dyDescent="0.25">
      <c r="A21" s="254"/>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50"/>
      <c r="AB21" s="50"/>
    </row>
    <row r="22" spans="1:28" x14ac:dyDescent="0.25">
      <c r="A22" s="255" t="s">
        <v>336</v>
      </c>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51"/>
      <c r="AB22" s="51"/>
    </row>
    <row r="23" spans="1:28" ht="43.5" customHeight="1" x14ac:dyDescent="0.25">
      <c r="A23" s="248" t="s">
        <v>337</v>
      </c>
      <c r="B23" s="249"/>
      <c r="C23" s="249"/>
      <c r="D23" s="249"/>
      <c r="E23" s="249"/>
      <c r="F23" s="249"/>
      <c r="G23" s="249"/>
      <c r="H23" s="249"/>
      <c r="I23" s="249"/>
      <c r="J23" s="249"/>
      <c r="K23" s="249"/>
      <c r="L23" s="250"/>
      <c r="M23" s="251" t="s">
        <v>338</v>
      </c>
      <c r="N23" s="252"/>
      <c r="O23" s="252"/>
      <c r="P23" s="252"/>
      <c r="Q23" s="252"/>
      <c r="R23" s="252"/>
      <c r="S23" s="252"/>
      <c r="T23" s="252"/>
      <c r="U23" s="252"/>
      <c r="V23" s="252"/>
      <c r="W23" s="252"/>
      <c r="X23" s="252"/>
      <c r="Y23" s="252"/>
      <c r="Z23" s="253"/>
    </row>
    <row r="24" spans="1:28" ht="151.5" customHeight="1" x14ac:dyDescent="0.25">
      <c r="A24" s="138" t="s">
        <v>339</v>
      </c>
      <c r="B24" s="139" t="s">
        <v>340</v>
      </c>
      <c r="C24" s="138" t="s">
        <v>341</v>
      </c>
      <c r="D24" s="138" t="s">
        <v>342</v>
      </c>
      <c r="E24" s="138" t="s">
        <v>343</v>
      </c>
      <c r="F24" s="138" t="s">
        <v>344</v>
      </c>
      <c r="G24" s="138" t="s">
        <v>345</v>
      </c>
      <c r="H24" s="138" t="s">
        <v>346</v>
      </c>
      <c r="I24" s="138" t="s">
        <v>347</v>
      </c>
      <c r="J24" s="138" t="s">
        <v>348</v>
      </c>
      <c r="K24" s="139" t="s">
        <v>349</v>
      </c>
      <c r="L24" s="139" t="s">
        <v>350</v>
      </c>
      <c r="M24" s="140" t="s">
        <v>351</v>
      </c>
      <c r="N24" s="139" t="s">
        <v>352</v>
      </c>
      <c r="O24" s="138" t="s">
        <v>353</v>
      </c>
      <c r="P24" s="138" t="s">
        <v>354</v>
      </c>
      <c r="Q24" s="138" t="s">
        <v>355</v>
      </c>
      <c r="R24" s="138" t="s">
        <v>346</v>
      </c>
      <c r="S24" s="138" t="s">
        <v>356</v>
      </c>
      <c r="T24" s="138" t="s">
        <v>357</v>
      </c>
      <c r="U24" s="138" t="s">
        <v>358</v>
      </c>
      <c r="V24" s="138" t="s">
        <v>355</v>
      </c>
      <c r="W24" s="141" t="s">
        <v>359</v>
      </c>
      <c r="X24" s="141" t="s">
        <v>360</v>
      </c>
      <c r="Y24" s="141" t="s">
        <v>361</v>
      </c>
      <c r="Z24" s="52" t="s">
        <v>362</v>
      </c>
    </row>
    <row r="25" spans="1:28" ht="16.5" customHeight="1" x14ac:dyDescent="0.25">
      <c r="A25" s="138">
        <v>1</v>
      </c>
      <c r="B25" s="139">
        <v>2</v>
      </c>
      <c r="C25" s="138">
        <v>3</v>
      </c>
      <c r="D25" s="139">
        <v>4</v>
      </c>
      <c r="E25" s="138">
        <v>5</v>
      </c>
      <c r="F25" s="139">
        <v>6</v>
      </c>
      <c r="G25" s="138">
        <v>7</v>
      </c>
      <c r="H25" s="139">
        <v>8</v>
      </c>
      <c r="I25" s="138">
        <v>9</v>
      </c>
      <c r="J25" s="139">
        <v>10</v>
      </c>
      <c r="K25" s="138">
        <v>11</v>
      </c>
      <c r="L25" s="139">
        <v>12</v>
      </c>
      <c r="M25" s="138">
        <v>13</v>
      </c>
      <c r="N25" s="139">
        <v>14</v>
      </c>
      <c r="O25" s="138">
        <v>15</v>
      </c>
      <c r="P25" s="139">
        <v>16</v>
      </c>
      <c r="Q25" s="138">
        <v>17</v>
      </c>
      <c r="R25" s="139">
        <v>18</v>
      </c>
      <c r="S25" s="138">
        <v>19</v>
      </c>
      <c r="T25" s="139">
        <v>20</v>
      </c>
      <c r="U25" s="138">
        <v>21</v>
      </c>
      <c r="V25" s="139">
        <v>22</v>
      </c>
      <c r="W25" s="138">
        <v>23</v>
      </c>
      <c r="X25" s="139">
        <v>24</v>
      </c>
      <c r="Y25" s="138">
        <v>25</v>
      </c>
      <c r="Z25" s="139">
        <v>26</v>
      </c>
    </row>
    <row r="26" spans="1:28" ht="45.75" customHeight="1" x14ac:dyDescent="0.25">
      <c r="A26" s="22" t="s">
        <v>363</v>
      </c>
      <c r="B26" s="22"/>
      <c r="C26" s="53" t="s">
        <v>364</v>
      </c>
      <c r="D26" s="53" t="s">
        <v>365</v>
      </c>
      <c r="E26" s="53" t="s">
        <v>366</v>
      </c>
      <c r="F26" s="53" t="s">
        <v>367</v>
      </c>
      <c r="G26" s="53" t="s">
        <v>368</v>
      </c>
      <c r="H26" s="53" t="s">
        <v>346</v>
      </c>
      <c r="I26" s="53" t="s">
        <v>369</v>
      </c>
      <c r="J26" s="53" t="s">
        <v>370</v>
      </c>
      <c r="K26" s="142"/>
      <c r="L26" s="53" t="s">
        <v>371</v>
      </c>
      <c r="M26" s="54" t="s">
        <v>372</v>
      </c>
      <c r="N26" s="142" t="s">
        <v>319</v>
      </c>
      <c r="O26" s="142" t="s">
        <v>319</v>
      </c>
      <c r="P26" s="142" t="s">
        <v>319</v>
      </c>
      <c r="Q26" s="142" t="s">
        <v>319</v>
      </c>
      <c r="R26" s="142" t="s">
        <v>319</v>
      </c>
      <c r="S26" s="142" t="s">
        <v>319</v>
      </c>
      <c r="T26" s="142" t="s">
        <v>319</v>
      </c>
      <c r="U26" s="142" t="s">
        <v>319</v>
      </c>
      <c r="V26" s="142" t="s">
        <v>319</v>
      </c>
      <c r="W26" s="142" t="s">
        <v>319</v>
      </c>
      <c r="X26" s="142" t="s">
        <v>319</v>
      </c>
      <c r="Y26" s="142" t="s">
        <v>319</v>
      </c>
      <c r="Z26" s="143" t="s">
        <v>373</v>
      </c>
    </row>
    <row r="27" spans="1:28" x14ac:dyDescent="0.25">
      <c r="A27" s="142" t="s">
        <v>374</v>
      </c>
      <c r="B27" s="142" t="s">
        <v>375</v>
      </c>
      <c r="C27" s="142" t="s">
        <v>319</v>
      </c>
      <c r="D27" s="142" t="s">
        <v>319</v>
      </c>
      <c r="E27" s="142" t="s">
        <v>319</v>
      </c>
      <c r="F27" s="142" t="s">
        <v>319</v>
      </c>
      <c r="G27" s="142" t="s">
        <v>319</v>
      </c>
      <c r="H27" s="142" t="s">
        <v>319</v>
      </c>
      <c r="I27" s="142" t="s">
        <v>319</v>
      </c>
      <c r="J27" s="142" t="s">
        <v>319</v>
      </c>
      <c r="K27" s="53" t="s">
        <v>376</v>
      </c>
      <c r="L27" s="142" t="s">
        <v>319</v>
      </c>
      <c r="M27" s="142" t="s">
        <v>319</v>
      </c>
      <c r="N27" s="142" t="s">
        <v>319</v>
      </c>
      <c r="O27" s="142" t="s">
        <v>319</v>
      </c>
      <c r="P27" s="142" t="s">
        <v>319</v>
      </c>
      <c r="Q27" s="142" t="s">
        <v>319</v>
      </c>
      <c r="R27" s="142" t="s">
        <v>319</v>
      </c>
      <c r="S27" s="142" t="s">
        <v>319</v>
      </c>
      <c r="T27" s="142" t="s">
        <v>319</v>
      </c>
      <c r="U27" s="142" t="s">
        <v>319</v>
      </c>
      <c r="V27" s="142" t="s">
        <v>319</v>
      </c>
      <c r="W27" s="142" t="s">
        <v>319</v>
      </c>
      <c r="X27" s="142" t="s">
        <v>319</v>
      </c>
      <c r="Y27" s="142" t="s">
        <v>319</v>
      </c>
      <c r="Z27" s="142" t="s">
        <v>319</v>
      </c>
    </row>
    <row r="28" spans="1:28" x14ac:dyDescent="0.25">
      <c r="A28" s="142" t="s">
        <v>374</v>
      </c>
      <c r="B28" s="142" t="s">
        <v>377</v>
      </c>
      <c r="C28" s="142" t="s">
        <v>319</v>
      </c>
      <c r="D28" s="142" t="s">
        <v>319</v>
      </c>
      <c r="E28" s="142" t="s">
        <v>319</v>
      </c>
      <c r="F28" s="142" t="s">
        <v>319</v>
      </c>
      <c r="G28" s="142" t="s">
        <v>319</v>
      </c>
      <c r="H28" s="142" t="s">
        <v>319</v>
      </c>
      <c r="I28" s="142" t="s">
        <v>319</v>
      </c>
      <c r="J28" s="142" t="s">
        <v>319</v>
      </c>
      <c r="K28" s="53" t="s">
        <v>378</v>
      </c>
      <c r="L28" s="142" t="s">
        <v>319</v>
      </c>
      <c r="M28" s="142" t="s">
        <v>319</v>
      </c>
      <c r="N28" s="142" t="s">
        <v>319</v>
      </c>
      <c r="O28" s="142" t="s">
        <v>319</v>
      </c>
      <c r="P28" s="142" t="s">
        <v>319</v>
      </c>
      <c r="Q28" s="142" t="s">
        <v>319</v>
      </c>
      <c r="R28" s="142" t="s">
        <v>319</v>
      </c>
      <c r="S28" s="142" t="s">
        <v>319</v>
      </c>
      <c r="T28" s="142" t="s">
        <v>319</v>
      </c>
      <c r="U28" s="142" t="s">
        <v>319</v>
      </c>
      <c r="V28" s="142" t="s">
        <v>319</v>
      </c>
      <c r="W28" s="142" t="s">
        <v>319</v>
      </c>
      <c r="X28" s="142" t="s">
        <v>319</v>
      </c>
      <c r="Y28" s="142" t="s">
        <v>319</v>
      </c>
      <c r="Z28" s="142" t="s">
        <v>319</v>
      </c>
    </row>
    <row r="29" spans="1:28" x14ac:dyDescent="0.25">
      <c r="A29" s="142" t="s">
        <v>374</v>
      </c>
      <c r="B29" s="142" t="s">
        <v>380</v>
      </c>
      <c r="C29" s="142" t="s">
        <v>319</v>
      </c>
      <c r="D29" s="142" t="s">
        <v>319</v>
      </c>
      <c r="E29" s="142" t="s">
        <v>319</v>
      </c>
      <c r="F29" s="142" t="s">
        <v>319</v>
      </c>
      <c r="G29" s="142" t="s">
        <v>319</v>
      </c>
      <c r="H29" s="142" t="s">
        <v>319</v>
      </c>
      <c r="I29" s="142" t="s">
        <v>319</v>
      </c>
      <c r="J29" s="142" t="s">
        <v>319</v>
      </c>
      <c r="K29" s="53" t="s">
        <v>381</v>
      </c>
      <c r="L29" s="142" t="s">
        <v>319</v>
      </c>
      <c r="M29" s="142" t="s">
        <v>319</v>
      </c>
      <c r="N29" s="142" t="s">
        <v>319</v>
      </c>
      <c r="O29" s="142" t="s">
        <v>319</v>
      </c>
      <c r="P29" s="142" t="s">
        <v>319</v>
      </c>
      <c r="Q29" s="142" t="s">
        <v>319</v>
      </c>
      <c r="R29" s="142" t="s">
        <v>319</v>
      </c>
      <c r="S29" s="142" t="s">
        <v>319</v>
      </c>
      <c r="T29" s="142" t="s">
        <v>319</v>
      </c>
      <c r="U29" s="142" t="s">
        <v>319</v>
      </c>
      <c r="V29" s="142" t="s">
        <v>319</v>
      </c>
      <c r="W29" s="142" t="s">
        <v>319</v>
      </c>
      <c r="X29" s="142" t="s">
        <v>319</v>
      </c>
      <c r="Y29" s="142" t="s">
        <v>319</v>
      </c>
      <c r="Z29" s="142" t="s">
        <v>319</v>
      </c>
    </row>
    <row r="30" spans="1:28" x14ac:dyDescent="0.25">
      <c r="A30" s="142" t="s">
        <v>374</v>
      </c>
      <c r="B30" s="142" t="s">
        <v>382</v>
      </c>
      <c r="C30" s="142" t="s">
        <v>319</v>
      </c>
      <c r="D30" s="142" t="s">
        <v>319</v>
      </c>
      <c r="E30" s="142" t="s">
        <v>319</v>
      </c>
      <c r="F30" s="142" t="s">
        <v>319</v>
      </c>
      <c r="G30" s="142" t="s">
        <v>319</v>
      </c>
      <c r="H30" s="142" t="s">
        <v>319</v>
      </c>
      <c r="I30" s="142" t="s">
        <v>319</v>
      </c>
      <c r="J30" s="142" t="s">
        <v>319</v>
      </c>
      <c r="K30" s="53" t="s">
        <v>383</v>
      </c>
      <c r="L30" s="142" t="s">
        <v>319</v>
      </c>
      <c r="M30" s="142" t="s">
        <v>319</v>
      </c>
      <c r="N30" s="142" t="s">
        <v>319</v>
      </c>
      <c r="O30" s="142" t="s">
        <v>319</v>
      </c>
      <c r="P30" s="142" t="s">
        <v>319</v>
      </c>
      <c r="Q30" s="142" t="s">
        <v>319</v>
      </c>
      <c r="R30" s="142" t="s">
        <v>319</v>
      </c>
      <c r="S30" s="142" t="s">
        <v>319</v>
      </c>
      <c r="T30" s="142" t="s">
        <v>319</v>
      </c>
      <c r="U30" s="142" t="s">
        <v>319</v>
      </c>
      <c r="V30" s="142" t="s">
        <v>319</v>
      </c>
      <c r="W30" s="142" t="s">
        <v>319</v>
      </c>
      <c r="X30" s="142" t="s">
        <v>319</v>
      </c>
      <c r="Y30" s="142" t="s">
        <v>319</v>
      </c>
      <c r="Z30" s="142" t="s">
        <v>319</v>
      </c>
    </row>
    <row r="31" spans="1:28" x14ac:dyDescent="0.25">
      <c r="A31" s="142" t="s">
        <v>379</v>
      </c>
      <c r="B31" s="142" t="s">
        <v>379</v>
      </c>
      <c r="C31" s="142" t="s">
        <v>379</v>
      </c>
      <c r="D31" s="142" t="s">
        <v>379</v>
      </c>
      <c r="E31" s="142" t="s">
        <v>379</v>
      </c>
      <c r="F31" s="142" t="s">
        <v>379</v>
      </c>
      <c r="G31" s="142" t="s">
        <v>379</v>
      </c>
      <c r="H31" s="142" t="s">
        <v>379</v>
      </c>
      <c r="I31" s="142" t="s">
        <v>379</v>
      </c>
      <c r="J31" s="142" t="s">
        <v>379</v>
      </c>
      <c r="K31" s="142" t="s">
        <v>379</v>
      </c>
      <c r="L31" s="142" t="s">
        <v>319</v>
      </c>
      <c r="M31" s="142" t="s">
        <v>319</v>
      </c>
      <c r="N31" s="142" t="s">
        <v>319</v>
      </c>
      <c r="O31" s="142" t="s">
        <v>319</v>
      </c>
      <c r="P31" s="142" t="s">
        <v>319</v>
      </c>
      <c r="Q31" s="142" t="s">
        <v>319</v>
      </c>
      <c r="R31" s="142" t="s">
        <v>319</v>
      </c>
      <c r="S31" s="142" t="s">
        <v>319</v>
      </c>
      <c r="T31" s="142" t="s">
        <v>319</v>
      </c>
      <c r="U31" s="142" t="s">
        <v>319</v>
      </c>
      <c r="V31" s="142" t="s">
        <v>319</v>
      </c>
      <c r="W31" s="142" t="s">
        <v>319</v>
      </c>
      <c r="X31" s="142" t="s">
        <v>319</v>
      </c>
      <c r="Y31" s="142" t="s">
        <v>319</v>
      </c>
      <c r="Z31" s="142" t="s">
        <v>319</v>
      </c>
    </row>
    <row r="32" spans="1:28" ht="30" x14ac:dyDescent="0.25">
      <c r="A32" s="22" t="s">
        <v>363</v>
      </c>
      <c r="B32" s="22"/>
      <c r="C32" s="53" t="s">
        <v>384</v>
      </c>
      <c r="D32" s="53" t="s">
        <v>385</v>
      </c>
      <c r="E32" s="53" t="s">
        <v>386</v>
      </c>
      <c r="F32" s="53" t="s">
        <v>387</v>
      </c>
      <c r="G32" s="53" t="s">
        <v>388</v>
      </c>
      <c r="H32" s="53" t="s">
        <v>346</v>
      </c>
      <c r="I32" s="53" t="s">
        <v>389</v>
      </c>
      <c r="J32" s="53" t="s">
        <v>390</v>
      </c>
      <c r="K32" s="142"/>
      <c r="L32" s="142" t="s">
        <v>319</v>
      </c>
      <c r="M32" s="142" t="s">
        <v>319</v>
      </c>
      <c r="N32" s="142" t="s">
        <v>319</v>
      </c>
      <c r="O32" s="142" t="s">
        <v>319</v>
      </c>
      <c r="P32" s="142" t="s">
        <v>319</v>
      </c>
      <c r="Q32" s="142" t="s">
        <v>319</v>
      </c>
      <c r="R32" s="142" t="s">
        <v>319</v>
      </c>
      <c r="S32" s="142" t="s">
        <v>319</v>
      </c>
      <c r="T32" s="142" t="s">
        <v>319</v>
      </c>
      <c r="U32" s="142" t="s">
        <v>319</v>
      </c>
      <c r="V32" s="142" t="s">
        <v>319</v>
      </c>
      <c r="W32" s="142" t="s">
        <v>319</v>
      </c>
      <c r="X32" s="142" t="s">
        <v>319</v>
      </c>
      <c r="Y32" s="142" t="s">
        <v>319</v>
      </c>
      <c r="Z32" s="142" t="s">
        <v>319</v>
      </c>
    </row>
    <row r="33" spans="1:26" x14ac:dyDescent="0.25">
      <c r="A33" s="142" t="s">
        <v>379</v>
      </c>
      <c r="B33" s="142" t="s">
        <v>379</v>
      </c>
      <c r="C33" s="142" t="s">
        <v>379</v>
      </c>
      <c r="D33" s="142" t="s">
        <v>379</v>
      </c>
      <c r="E33" s="142" t="s">
        <v>379</v>
      </c>
      <c r="F33" s="142" t="s">
        <v>379</v>
      </c>
      <c r="G33" s="142" t="s">
        <v>379</v>
      </c>
      <c r="H33" s="142" t="s">
        <v>379</v>
      </c>
      <c r="I33" s="142" t="s">
        <v>379</v>
      </c>
      <c r="J33" s="142" t="s">
        <v>379</v>
      </c>
      <c r="K33" s="142" t="s">
        <v>379</v>
      </c>
      <c r="L33" s="142" t="s">
        <v>319</v>
      </c>
      <c r="M33" s="142" t="s">
        <v>319</v>
      </c>
      <c r="N33" s="142" t="s">
        <v>319</v>
      </c>
      <c r="O33" s="142" t="s">
        <v>319</v>
      </c>
      <c r="P33" s="142" t="s">
        <v>319</v>
      </c>
      <c r="Q33" s="142" t="s">
        <v>319</v>
      </c>
      <c r="R33" s="142" t="s">
        <v>319</v>
      </c>
      <c r="S33" s="142" t="s">
        <v>319</v>
      </c>
      <c r="T33" s="142" t="s">
        <v>319</v>
      </c>
      <c r="U33" s="142" t="s">
        <v>319</v>
      </c>
      <c r="V33" s="142" t="s">
        <v>319</v>
      </c>
      <c r="W33" s="142" t="s">
        <v>319</v>
      </c>
      <c r="X33" s="142" t="s">
        <v>319</v>
      </c>
      <c r="Y33" s="142" t="s">
        <v>319</v>
      </c>
      <c r="Z33" s="142" t="s">
        <v>319</v>
      </c>
    </row>
    <row r="37" spans="1:26" x14ac:dyDescent="0.25">
      <c r="A37" s="144"/>
    </row>
  </sheetData>
  <mergeCells count="20">
    <mergeCell ref="A15:Z15"/>
    <mergeCell ref="A16:Z16"/>
    <mergeCell ref="A4:Z4"/>
    <mergeCell ref="A6:Z6"/>
    <mergeCell ref="A7:Z7"/>
    <mergeCell ref="A8:Z8"/>
    <mergeCell ref="A9:Z9"/>
    <mergeCell ref="A10:Z10"/>
    <mergeCell ref="A11:Z11"/>
    <mergeCell ref="A12:Z12"/>
    <mergeCell ref="A13:Z13"/>
    <mergeCell ref="A14:Z14"/>
    <mergeCell ref="A23:L23"/>
    <mergeCell ref="M23:Z23"/>
    <mergeCell ref="A17:Z17"/>
    <mergeCell ref="A18:Z18"/>
    <mergeCell ref="A19:Z19"/>
    <mergeCell ref="A20:Z20"/>
    <mergeCell ref="A21:Z21"/>
    <mergeCell ref="A22:Z22"/>
  </mergeCells>
  <phoneticPr fontId="7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B66" sqref="B66"/>
    </sheetView>
  </sheetViews>
  <sheetFormatPr defaultRowHeight="15" x14ac:dyDescent="0.25"/>
  <cols>
    <col min="1" max="1" width="7.42578125" style="136" customWidth="1"/>
    <col min="2" max="2" width="25.5703125" style="136" customWidth="1"/>
    <col min="3" max="3" width="71.28515625" style="136" customWidth="1"/>
    <col min="4" max="4" width="16.140625" style="136" customWidth="1"/>
    <col min="5" max="5" width="9.42578125" style="136" customWidth="1"/>
    <col min="6" max="6" width="8.7109375" style="136" customWidth="1"/>
    <col min="7" max="7" width="9" style="136" customWidth="1"/>
    <col min="8" max="8" width="8.42578125" style="136" customWidth="1"/>
    <col min="9" max="9" width="33.85546875" style="136" customWidth="1"/>
    <col min="10" max="11" width="19.140625" style="136" customWidth="1"/>
    <col min="12" max="12" width="16" style="136" customWidth="1"/>
    <col min="13" max="13" width="14.85546875" style="136" customWidth="1"/>
    <col min="14" max="14" width="16.28515625" style="136" customWidth="1"/>
    <col min="15" max="16384" width="9.140625" style="136"/>
  </cols>
  <sheetData>
    <row r="1" spans="1:28" s="39" customFormat="1" ht="18.75" customHeight="1" x14ac:dyDescent="0.2">
      <c r="A1" s="38"/>
      <c r="B1" s="38"/>
      <c r="O1" s="40" t="s">
        <v>23</v>
      </c>
    </row>
    <row r="2" spans="1:28" s="39" customFormat="1" ht="18.75" customHeight="1" x14ac:dyDescent="0.3">
      <c r="A2" s="38"/>
      <c r="B2" s="38"/>
      <c r="O2" s="41" t="s">
        <v>7</v>
      </c>
    </row>
    <row r="3" spans="1:28" s="39" customFormat="1" ht="18.75" x14ac:dyDescent="0.3">
      <c r="A3" s="42"/>
      <c r="B3" s="42"/>
      <c r="O3" s="41" t="s">
        <v>22</v>
      </c>
    </row>
    <row r="4" spans="1:28" s="39" customFormat="1" ht="18.75" x14ac:dyDescent="0.3">
      <c r="A4" s="42"/>
      <c r="B4" s="42"/>
      <c r="L4" s="41"/>
    </row>
    <row r="5" spans="1:28" s="39" customFormat="1" ht="15.75" x14ac:dyDescent="0.2">
      <c r="A5" s="209" t="str">
        <f>'1. паспорт местоположение'!$A$5</f>
        <v>Год раскрытия информации: 2019 год</v>
      </c>
      <c r="B5" s="209"/>
      <c r="C5" s="209"/>
      <c r="D5" s="209"/>
      <c r="E5" s="209"/>
      <c r="F5" s="209"/>
      <c r="G5" s="209"/>
      <c r="H5" s="209"/>
      <c r="I5" s="209"/>
      <c r="J5" s="209"/>
      <c r="K5" s="209"/>
      <c r="L5" s="209"/>
      <c r="M5" s="209"/>
      <c r="N5" s="209"/>
      <c r="O5" s="209"/>
      <c r="P5" s="37"/>
      <c r="Q5" s="37"/>
      <c r="R5" s="37"/>
      <c r="S5" s="37"/>
      <c r="T5" s="37"/>
      <c r="U5" s="37"/>
      <c r="V5" s="37"/>
      <c r="W5" s="37"/>
      <c r="X5" s="37"/>
      <c r="Y5" s="37"/>
      <c r="Z5" s="37"/>
      <c r="AA5" s="37"/>
      <c r="AB5" s="37"/>
    </row>
    <row r="6" spans="1:28" s="39" customFormat="1" ht="18.75" x14ac:dyDescent="0.3">
      <c r="A6" s="42"/>
      <c r="B6" s="42"/>
      <c r="L6" s="41"/>
    </row>
    <row r="7" spans="1:28" s="39" customFormat="1" ht="18.75" x14ac:dyDescent="0.2">
      <c r="A7" s="228" t="s">
        <v>6</v>
      </c>
      <c r="B7" s="228"/>
      <c r="C7" s="228"/>
      <c r="D7" s="228"/>
      <c r="E7" s="228"/>
      <c r="F7" s="228"/>
      <c r="G7" s="228"/>
      <c r="H7" s="228"/>
      <c r="I7" s="228"/>
      <c r="J7" s="228"/>
      <c r="K7" s="228"/>
      <c r="L7" s="228"/>
      <c r="M7" s="228"/>
      <c r="N7" s="228"/>
      <c r="O7" s="228"/>
      <c r="P7" s="122"/>
      <c r="Q7" s="122"/>
      <c r="R7" s="122"/>
      <c r="S7" s="122"/>
      <c r="T7" s="122"/>
      <c r="U7" s="122"/>
      <c r="V7" s="122"/>
      <c r="W7" s="122"/>
      <c r="X7" s="122"/>
      <c r="Y7" s="122"/>
      <c r="Z7" s="122"/>
    </row>
    <row r="8" spans="1:28" s="39" customFormat="1" ht="18.75" x14ac:dyDescent="0.2">
      <c r="A8" s="228"/>
      <c r="B8" s="228"/>
      <c r="C8" s="228"/>
      <c r="D8" s="228"/>
      <c r="E8" s="228"/>
      <c r="F8" s="228"/>
      <c r="G8" s="228"/>
      <c r="H8" s="228"/>
      <c r="I8" s="228"/>
      <c r="J8" s="228"/>
      <c r="K8" s="228"/>
      <c r="L8" s="228"/>
      <c r="M8" s="228"/>
      <c r="N8" s="228"/>
      <c r="O8" s="228"/>
      <c r="P8" s="122"/>
      <c r="Q8" s="122"/>
      <c r="R8" s="122"/>
      <c r="S8" s="122"/>
      <c r="T8" s="122"/>
      <c r="U8" s="122"/>
      <c r="V8" s="122"/>
      <c r="W8" s="122"/>
      <c r="X8" s="122"/>
      <c r="Y8" s="122"/>
      <c r="Z8" s="122"/>
    </row>
    <row r="9" spans="1:28" s="39" customFormat="1" ht="18.75" x14ac:dyDescent="0.2">
      <c r="A9" s="219" t="s">
        <v>252</v>
      </c>
      <c r="B9" s="219"/>
      <c r="C9" s="219"/>
      <c r="D9" s="219"/>
      <c r="E9" s="219"/>
      <c r="F9" s="219"/>
      <c r="G9" s="219"/>
      <c r="H9" s="219"/>
      <c r="I9" s="219"/>
      <c r="J9" s="219"/>
      <c r="K9" s="219"/>
      <c r="L9" s="219"/>
      <c r="M9" s="219"/>
      <c r="N9" s="219"/>
      <c r="O9" s="219"/>
      <c r="P9" s="122"/>
      <c r="Q9" s="122"/>
      <c r="R9" s="122"/>
      <c r="S9" s="122"/>
      <c r="T9" s="122"/>
      <c r="U9" s="122"/>
      <c r="V9" s="122"/>
      <c r="W9" s="122"/>
      <c r="X9" s="122"/>
      <c r="Y9" s="122"/>
      <c r="Z9" s="122"/>
    </row>
    <row r="10" spans="1:28" s="39" customFormat="1" ht="18.75" x14ac:dyDescent="0.2">
      <c r="A10" s="220" t="s">
        <v>5</v>
      </c>
      <c r="B10" s="220"/>
      <c r="C10" s="220"/>
      <c r="D10" s="220"/>
      <c r="E10" s="220"/>
      <c r="F10" s="220"/>
      <c r="G10" s="220"/>
      <c r="H10" s="220"/>
      <c r="I10" s="220"/>
      <c r="J10" s="220"/>
      <c r="K10" s="220"/>
      <c r="L10" s="220"/>
      <c r="M10" s="220"/>
      <c r="N10" s="220"/>
      <c r="O10" s="220"/>
      <c r="P10" s="122"/>
      <c r="Q10" s="122"/>
      <c r="R10" s="122"/>
      <c r="S10" s="122"/>
      <c r="T10" s="122"/>
      <c r="U10" s="122"/>
      <c r="V10" s="122"/>
      <c r="W10" s="122"/>
      <c r="X10" s="122"/>
      <c r="Y10" s="122"/>
      <c r="Z10" s="122"/>
    </row>
    <row r="11" spans="1:28" s="39" customFormat="1" ht="18.75" x14ac:dyDescent="0.2">
      <c r="A11" s="228"/>
      <c r="B11" s="228"/>
      <c r="C11" s="228"/>
      <c r="D11" s="228"/>
      <c r="E11" s="228"/>
      <c r="F11" s="228"/>
      <c r="G11" s="228"/>
      <c r="H11" s="228"/>
      <c r="I11" s="228"/>
      <c r="J11" s="228"/>
      <c r="K11" s="228"/>
      <c r="L11" s="228"/>
      <c r="M11" s="228"/>
      <c r="N11" s="228"/>
      <c r="O11" s="228"/>
      <c r="P11" s="122"/>
      <c r="Q11" s="122"/>
      <c r="R11" s="122"/>
      <c r="S11" s="122"/>
      <c r="T11" s="122"/>
      <c r="U11" s="122"/>
      <c r="V11" s="122"/>
      <c r="W11" s="122"/>
      <c r="X11" s="122"/>
      <c r="Y11" s="122"/>
      <c r="Z11" s="122"/>
    </row>
    <row r="12" spans="1:28" s="39" customFormat="1" ht="18.75" x14ac:dyDescent="0.2">
      <c r="A12" s="219" t="str">
        <f>'3.4. Паспорт надежность'!A11:Z11</f>
        <v>I_Che134</v>
      </c>
      <c r="B12" s="219"/>
      <c r="C12" s="219"/>
      <c r="D12" s="219"/>
      <c r="E12" s="219"/>
      <c r="F12" s="219"/>
      <c r="G12" s="219"/>
      <c r="H12" s="219"/>
      <c r="I12" s="219"/>
      <c r="J12" s="219"/>
      <c r="K12" s="219"/>
      <c r="L12" s="219"/>
      <c r="M12" s="219"/>
      <c r="N12" s="219"/>
      <c r="O12" s="219"/>
      <c r="P12" s="122"/>
      <c r="Q12" s="122"/>
      <c r="R12" s="122"/>
      <c r="S12" s="122"/>
      <c r="T12" s="122"/>
      <c r="U12" s="122"/>
      <c r="V12" s="122"/>
      <c r="W12" s="122"/>
      <c r="X12" s="122"/>
      <c r="Y12" s="122"/>
      <c r="Z12" s="122"/>
    </row>
    <row r="13" spans="1:28" s="39" customFormat="1" ht="18.75" x14ac:dyDescent="0.2">
      <c r="A13" s="220" t="s">
        <v>4</v>
      </c>
      <c r="B13" s="220"/>
      <c r="C13" s="220"/>
      <c r="D13" s="220"/>
      <c r="E13" s="220"/>
      <c r="F13" s="220"/>
      <c r="G13" s="220"/>
      <c r="H13" s="220"/>
      <c r="I13" s="220"/>
      <c r="J13" s="220"/>
      <c r="K13" s="220"/>
      <c r="L13" s="220"/>
      <c r="M13" s="220"/>
      <c r="N13" s="220"/>
      <c r="O13" s="220"/>
      <c r="P13" s="122"/>
      <c r="Q13" s="122"/>
      <c r="R13" s="122"/>
      <c r="S13" s="122"/>
      <c r="T13" s="122"/>
      <c r="U13" s="122"/>
      <c r="V13" s="122"/>
      <c r="W13" s="122"/>
      <c r="X13" s="122"/>
      <c r="Y13" s="122"/>
      <c r="Z13" s="122"/>
    </row>
    <row r="14" spans="1:28" s="123" customFormat="1" ht="15.75" customHeight="1" x14ac:dyDescent="0.2">
      <c r="A14" s="221"/>
      <c r="B14" s="221"/>
      <c r="C14" s="221"/>
      <c r="D14" s="221"/>
      <c r="E14" s="221"/>
      <c r="F14" s="221"/>
      <c r="G14" s="221"/>
      <c r="H14" s="221"/>
      <c r="I14" s="221"/>
      <c r="J14" s="221"/>
      <c r="K14" s="221"/>
      <c r="L14" s="221"/>
      <c r="M14" s="221"/>
      <c r="N14" s="221"/>
      <c r="O14" s="221"/>
      <c r="P14" s="45"/>
      <c r="Q14" s="45"/>
      <c r="R14" s="45"/>
      <c r="S14" s="45"/>
      <c r="T14" s="45"/>
      <c r="U14" s="45"/>
      <c r="V14" s="45"/>
      <c r="W14" s="45"/>
      <c r="X14" s="45"/>
      <c r="Y14" s="45"/>
      <c r="Z14" s="45"/>
    </row>
    <row r="15" spans="1:28" s="125" customFormat="1" ht="18.75" x14ac:dyDescent="0.2">
      <c r="A15" s="230"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19"/>
      <c r="C15" s="219"/>
      <c r="D15" s="219"/>
      <c r="E15" s="219"/>
      <c r="F15" s="219"/>
      <c r="G15" s="219"/>
      <c r="H15" s="219"/>
      <c r="I15" s="219"/>
      <c r="J15" s="219"/>
      <c r="K15" s="219"/>
      <c r="L15" s="219"/>
      <c r="M15" s="219"/>
      <c r="N15" s="219"/>
      <c r="O15" s="219"/>
      <c r="P15" s="124"/>
      <c r="Q15" s="124"/>
      <c r="R15" s="124"/>
      <c r="S15" s="124"/>
      <c r="T15" s="124"/>
      <c r="U15" s="124"/>
      <c r="V15" s="124"/>
      <c r="W15" s="124"/>
      <c r="X15" s="124"/>
      <c r="Y15" s="124"/>
      <c r="Z15" s="124"/>
    </row>
    <row r="16" spans="1:28" s="125" customFormat="1" ht="15" customHeight="1" x14ac:dyDescent="0.2">
      <c r="A16" s="220" t="s">
        <v>3</v>
      </c>
      <c r="B16" s="220"/>
      <c r="C16" s="220"/>
      <c r="D16" s="220"/>
      <c r="E16" s="220"/>
      <c r="F16" s="220"/>
      <c r="G16" s="220"/>
      <c r="H16" s="220"/>
      <c r="I16" s="220"/>
      <c r="J16" s="220"/>
      <c r="K16" s="220"/>
      <c r="L16" s="220"/>
      <c r="M16" s="220"/>
      <c r="N16" s="220"/>
      <c r="O16" s="220"/>
      <c r="P16" s="126"/>
      <c r="Q16" s="126"/>
      <c r="R16" s="126"/>
      <c r="S16" s="126"/>
      <c r="T16" s="126"/>
      <c r="U16" s="126"/>
      <c r="V16" s="126"/>
      <c r="W16" s="126"/>
      <c r="X16" s="126"/>
      <c r="Y16" s="126"/>
      <c r="Z16" s="126"/>
    </row>
    <row r="17" spans="1:26" s="125" customFormat="1" ht="15" customHeight="1" x14ac:dyDescent="0.2">
      <c r="A17" s="223"/>
      <c r="B17" s="223"/>
      <c r="C17" s="223"/>
      <c r="D17" s="223"/>
      <c r="E17" s="223"/>
      <c r="F17" s="223"/>
      <c r="G17" s="223"/>
      <c r="H17" s="223"/>
      <c r="I17" s="223"/>
      <c r="J17" s="223"/>
      <c r="K17" s="223"/>
      <c r="L17" s="223"/>
      <c r="M17" s="223"/>
      <c r="N17" s="223"/>
      <c r="O17" s="223"/>
      <c r="P17" s="46"/>
      <c r="Q17" s="46"/>
      <c r="R17" s="46"/>
      <c r="S17" s="46"/>
      <c r="T17" s="46"/>
      <c r="U17" s="46"/>
      <c r="V17" s="46"/>
      <c r="W17" s="46"/>
    </row>
    <row r="18" spans="1:26" s="125" customFormat="1" ht="91.5" customHeight="1" x14ac:dyDescent="0.2">
      <c r="A18" s="256" t="s">
        <v>391</v>
      </c>
      <c r="B18" s="256"/>
      <c r="C18" s="256"/>
      <c r="D18" s="256"/>
      <c r="E18" s="256"/>
      <c r="F18" s="256"/>
      <c r="G18" s="256"/>
      <c r="H18" s="256"/>
      <c r="I18" s="256"/>
      <c r="J18" s="256"/>
      <c r="K18" s="256"/>
      <c r="L18" s="256"/>
      <c r="M18" s="256"/>
      <c r="N18" s="256"/>
      <c r="O18" s="256"/>
      <c r="P18" s="127"/>
      <c r="Q18" s="127"/>
      <c r="R18" s="127"/>
      <c r="S18" s="127"/>
      <c r="T18" s="127"/>
      <c r="U18" s="127"/>
      <c r="V18" s="127"/>
      <c r="W18" s="127"/>
      <c r="X18" s="127"/>
      <c r="Y18" s="127"/>
      <c r="Z18" s="127"/>
    </row>
    <row r="19" spans="1:26" s="125" customFormat="1" ht="78" customHeight="1" x14ac:dyDescent="0.2">
      <c r="A19" s="217" t="s">
        <v>2</v>
      </c>
      <c r="B19" s="217" t="s">
        <v>392</v>
      </c>
      <c r="C19" s="217" t="s">
        <v>393</v>
      </c>
      <c r="D19" s="217" t="s">
        <v>394</v>
      </c>
      <c r="E19" s="257" t="s">
        <v>395</v>
      </c>
      <c r="F19" s="258"/>
      <c r="G19" s="258"/>
      <c r="H19" s="258"/>
      <c r="I19" s="259"/>
      <c r="J19" s="217" t="s">
        <v>396</v>
      </c>
      <c r="K19" s="217"/>
      <c r="L19" s="217"/>
      <c r="M19" s="217"/>
      <c r="N19" s="217"/>
      <c r="O19" s="217"/>
      <c r="P19" s="46"/>
      <c r="Q19" s="46"/>
      <c r="R19" s="46"/>
      <c r="S19" s="46"/>
      <c r="T19" s="46"/>
      <c r="U19" s="46"/>
      <c r="V19" s="46"/>
      <c r="W19" s="46"/>
    </row>
    <row r="20" spans="1:26" s="125" customFormat="1" ht="51" customHeight="1" x14ac:dyDescent="0.2">
      <c r="A20" s="217"/>
      <c r="B20" s="217"/>
      <c r="C20" s="217"/>
      <c r="D20" s="217"/>
      <c r="E20" s="128" t="s">
        <v>397</v>
      </c>
      <c r="F20" s="128" t="s">
        <v>398</v>
      </c>
      <c r="G20" s="128" t="s">
        <v>399</v>
      </c>
      <c r="H20" s="128" t="s">
        <v>400</v>
      </c>
      <c r="I20" s="128" t="s">
        <v>401</v>
      </c>
      <c r="J20" s="128" t="s">
        <v>402</v>
      </c>
      <c r="K20" s="128" t="s">
        <v>403</v>
      </c>
      <c r="L20" s="129" t="s">
        <v>404</v>
      </c>
      <c r="M20" s="130" t="s">
        <v>405</v>
      </c>
      <c r="N20" s="130" t="s">
        <v>406</v>
      </c>
      <c r="O20" s="130" t="s">
        <v>407</v>
      </c>
      <c r="P20" s="45"/>
      <c r="Q20" s="45"/>
      <c r="R20" s="45"/>
      <c r="S20" s="45"/>
      <c r="T20" s="45"/>
      <c r="U20" s="45"/>
      <c r="V20" s="45"/>
      <c r="W20" s="45"/>
      <c r="X20" s="131"/>
      <c r="Y20" s="131"/>
      <c r="Z20" s="131"/>
    </row>
    <row r="21" spans="1:26" s="125" customFormat="1" ht="16.5" customHeight="1" x14ac:dyDescent="0.2">
      <c r="A21" s="132">
        <v>1</v>
      </c>
      <c r="B21" s="133">
        <v>2</v>
      </c>
      <c r="C21" s="132">
        <v>3</v>
      </c>
      <c r="D21" s="133">
        <v>4</v>
      </c>
      <c r="E21" s="132">
        <v>5</v>
      </c>
      <c r="F21" s="133">
        <v>6</v>
      </c>
      <c r="G21" s="132">
        <v>7</v>
      </c>
      <c r="H21" s="133">
        <v>8</v>
      </c>
      <c r="I21" s="132">
        <v>9</v>
      </c>
      <c r="J21" s="133">
        <v>10</v>
      </c>
      <c r="K21" s="132">
        <v>11</v>
      </c>
      <c r="L21" s="133">
        <v>12</v>
      </c>
      <c r="M21" s="132">
        <v>13</v>
      </c>
      <c r="N21" s="133">
        <v>14</v>
      </c>
      <c r="O21" s="132">
        <v>15</v>
      </c>
      <c r="P21" s="45"/>
      <c r="Q21" s="45"/>
      <c r="R21" s="45"/>
      <c r="S21" s="45"/>
      <c r="T21" s="45"/>
      <c r="U21" s="45"/>
      <c r="V21" s="45"/>
      <c r="W21" s="45"/>
      <c r="X21" s="131"/>
      <c r="Y21" s="131"/>
      <c r="Z21" s="131"/>
    </row>
    <row r="22" spans="1:26" s="125" customFormat="1" ht="33" customHeight="1" x14ac:dyDescent="0.2">
      <c r="A22" s="134" t="s">
        <v>319</v>
      </c>
      <c r="B22" s="134" t="s">
        <v>319</v>
      </c>
      <c r="C22" s="134" t="s">
        <v>319</v>
      </c>
      <c r="D22" s="134" t="s">
        <v>319</v>
      </c>
      <c r="E22" s="134" t="s">
        <v>319</v>
      </c>
      <c r="F22" s="134" t="s">
        <v>319</v>
      </c>
      <c r="G22" s="134" t="s">
        <v>319</v>
      </c>
      <c r="H22" s="134" t="s">
        <v>319</v>
      </c>
      <c r="I22" s="134" t="s">
        <v>319</v>
      </c>
      <c r="J22" s="134" t="s">
        <v>319</v>
      </c>
      <c r="K22" s="134" t="s">
        <v>319</v>
      </c>
      <c r="L22" s="134" t="s">
        <v>319</v>
      </c>
      <c r="M22" s="134" t="s">
        <v>319</v>
      </c>
      <c r="N22" s="134" t="s">
        <v>319</v>
      </c>
      <c r="O22" s="134" t="s">
        <v>319</v>
      </c>
      <c r="P22" s="45"/>
      <c r="Q22" s="45"/>
      <c r="R22" s="45"/>
      <c r="S22" s="45"/>
      <c r="T22" s="45"/>
      <c r="U22" s="45"/>
      <c r="V22" s="131"/>
      <c r="W22" s="131"/>
      <c r="X22" s="131"/>
      <c r="Y22" s="131"/>
      <c r="Z22" s="131"/>
    </row>
    <row r="23" spans="1:26" x14ac:dyDescent="0.25">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row>
    <row r="24" spans="1:26"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row>
    <row r="25" spans="1:26"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row>
    <row r="26" spans="1:26"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row>
    <row r="27" spans="1:26"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row>
    <row r="28" spans="1:26"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row>
    <row r="29" spans="1:26"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row>
    <row r="30" spans="1:26"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row>
    <row r="31" spans="1:26"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row>
    <row r="32" spans="1:26"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row>
    <row r="33" spans="1:26"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row>
    <row r="34" spans="1:26"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row>
    <row r="35" spans="1:26"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row>
    <row r="36" spans="1:26"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row>
    <row r="37" spans="1:26"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row>
    <row r="38" spans="1:26"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row>
    <row r="39" spans="1:26"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row>
    <row r="40" spans="1:26"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row>
    <row r="41" spans="1:26"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row>
    <row r="42" spans="1:26"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row>
    <row r="43" spans="1:26"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row>
    <row r="44" spans="1:26"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row>
    <row r="45" spans="1:26"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row>
    <row r="46" spans="1:26"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row>
    <row r="47" spans="1:26"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row>
    <row r="48" spans="1:26"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row>
    <row r="49" spans="1:26"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row>
    <row r="50" spans="1:26"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row>
    <row r="51" spans="1:26"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row>
    <row r="52" spans="1:26"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row>
    <row r="53" spans="1:26"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row>
    <row r="54" spans="1:26"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row>
    <row r="55" spans="1:26"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row r="56" spans="1:26"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row>
    <row r="57" spans="1:26"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row>
    <row r="58" spans="1:26"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row>
    <row r="59" spans="1:26"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row>
    <row r="60" spans="1:26"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row>
    <row r="61" spans="1:26"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row>
    <row r="62" spans="1:26"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row>
    <row r="63" spans="1:26"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row>
    <row r="64" spans="1:26"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row>
    <row r="65" spans="1:26"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row>
    <row r="66" spans="1:26"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row>
    <row r="67" spans="1:26"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row>
    <row r="68" spans="1:26"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row>
    <row r="69" spans="1:26"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row>
    <row r="70" spans="1:26"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row>
    <row r="72" spans="1:26"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row>
    <row r="73" spans="1:26"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row>
    <row r="74" spans="1:26"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row>
    <row r="75" spans="1:26"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row>
    <row r="76" spans="1:26"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row>
    <row r="77" spans="1:26"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row>
    <row r="78" spans="1:26"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row>
    <row r="79" spans="1:26"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row>
    <row r="80" spans="1:26"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row>
    <row r="81" spans="1:26"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row>
    <row r="82" spans="1:26"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row>
    <row r="83" spans="1:26"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row>
    <row r="84" spans="1:26"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row>
    <row r="85" spans="1:26"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row>
    <row r="86" spans="1:26"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row>
    <row r="87" spans="1:26"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row>
    <row r="88" spans="1:26"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row>
    <row r="89" spans="1:26"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row>
    <row r="90" spans="1:26"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row>
    <row r="91" spans="1:26"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row>
    <row r="92" spans="1:26"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row>
    <row r="93" spans="1:26"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row>
    <row r="94" spans="1:26"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row>
    <row r="95" spans="1:26"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row>
    <row r="96" spans="1:26"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row>
    <row r="97" spans="1:26"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row>
    <row r="98" spans="1:26"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row>
    <row r="99" spans="1:26"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row>
    <row r="100" spans="1:26"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row>
    <row r="101" spans="1:26"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row>
    <row r="102" spans="1:26"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row>
    <row r="103" spans="1:26"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row>
    <row r="104" spans="1:26"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row>
    <row r="105" spans="1:26"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row>
    <row r="106" spans="1:26"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row>
    <row r="107" spans="1:26"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row>
    <row r="108" spans="1:26"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row>
    <row r="109" spans="1:26"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row>
    <row r="110" spans="1:26"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row>
    <row r="111" spans="1:26"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row>
    <row r="112" spans="1:26"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row>
    <row r="113" spans="1:26"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row>
    <row r="114" spans="1:26"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row>
    <row r="115" spans="1:26"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row>
    <row r="116" spans="1:26"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row>
    <row r="117" spans="1:26"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row>
    <row r="118" spans="1:26"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row>
    <row r="119" spans="1:26"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row>
    <row r="120" spans="1:26"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row>
    <row r="121" spans="1:26"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row>
    <row r="122" spans="1:26"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row>
    <row r="123" spans="1:26"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row>
    <row r="124" spans="1:26"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row>
    <row r="125" spans="1:26"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row>
    <row r="126" spans="1:26"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row>
    <row r="127" spans="1:26"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row>
    <row r="128" spans="1:26"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row>
    <row r="129" spans="1:26"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row>
    <row r="130" spans="1:26"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row>
    <row r="131" spans="1:26"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row>
    <row r="132" spans="1:26"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row>
    <row r="133" spans="1:26"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row>
    <row r="134" spans="1:26"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row>
    <row r="135" spans="1:26"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row>
    <row r="136" spans="1:26"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row>
    <row r="137" spans="1:26"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row>
    <row r="138" spans="1:26"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row>
    <row r="139" spans="1:26"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row>
    <row r="140" spans="1:26"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row>
    <row r="141" spans="1:26"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row>
    <row r="142" spans="1:26"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row>
    <row r="143" spans="1:26"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row>
    <row r="144" spans="1:26"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row>
    <row r="145" spans="1:26"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row>
    <row r="146" spans="1:26"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row>
    <row r="147" spans="1:26"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row>
    <row r="148" spans="1:26"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row>
    <row r="149" spans="1:26"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row>
    <row r="150" spans="1:26"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row>
    <row r="151" spans="1:26"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row>
    <row r="152" spans="1:26"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row>
    <row r="153" spans="1:26"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row>
    <row r="154" spans="1:26"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row>
    <row r="155" spans="1:26"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row>
    <row r="156" spans="1:26"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row>
    <row r="157" spans="1:26"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row>
    <row r="158" spans="1:26"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row>
    <row r="159" spans="1:26"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row>
    <row r="160" spans="1:26"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row>
    <row r="161" spans="1:26"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row>
    <row r="162" spans="1:26"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row>
    <row r="163" spans="1:26"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row>
    <row r="164" spans="1:26"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row>
    <row r="165" spans="1:26"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row>
    <row r="166" spans="1:26"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row>
    <row r="167" spans="1:26"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row>
    <row r="168" spans="1:26"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row>
    <row r="169" spans="1:26"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row>
    <row r="170" spans="1:26"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row>
    <row r="171" spans="1:26"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row>
    <row r="172" spans="1:26"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row>
    <row r="173" spans="1:26"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row>
    <row r="174" spans="1:26"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row>
    <row r="175" spans="1:26"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row>
    <row r="176" spans="1:26"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row>
    <row r="177" spans="1:26"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row>
    <row r="178" spans="1:26"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row>
    <row r="179" spans="1:26"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row>
    <row r="180" spans="1:26"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row>
    <row r="181" spans="1:26"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row>
    <row r="182" spans="1:26"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row>
    <row r="183" spans="1:26"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row>
    <row r="184" spans="1:26"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row>
    <row r="185" spans="1:26"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row>
    <row r="186" spans="1:26"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row>
    <row r="187" spans="1:26"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row>
    <row r="188" spans="1:26"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row>
    <row r="189" spans="1:26"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row>
    <row r="190" spans="1:26"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row>
    <row r="191" spans="1:26"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row>
    <row r="192" spans="1:26"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row>
    <row r="193" spans="1:26"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row>
    <row r="194" spans="1:26"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row>
    <row r="195" spans="1:26"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row>
    <row r="196" spans="1:26"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row>
    <row r="197" spans="1:26"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row>
    <row r="198" spans="1:26"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row>
    <row r="199" spans="1:26"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row>
    <row r="200" spans="1:26"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row>
    <row r="201" spans="1:26"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row>
    <row r="202" spans="1:26"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row>
    <row r="203" spans="1:26"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row>
    <row r="204" spans="1:26"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row>
    <row r="205" spans="1:26"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row>
    <row r="206" spans="1:26"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row>
    <row r="207" spans="1:26"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row>
    <row r="208" spans="1:26"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row>
    <row r="209" spans="1:26"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row>
    <row r="210" spans="1:26"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row>
    <row r="211" spans="1:26"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row>
    <row r="212" spans="1:26"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row>
    <row r="213" spans="1:26"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row>
    <row r="214" spans="1:26"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row>
    <row r="215" spans="1:26"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row>
    <row r="216" spans="1:26"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row>
    <row r="217" spans="1:26"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row>
    <row r="218" spans="1:26"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row>
    <row r="219" spans="1:26"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row>
    <row r="220" spans="1:26"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row>
    <row r="221" spans="1:26"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row>
    <row r="222" spans="1:26"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row>
    <row r="223" spans="1:26"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row>
    <row r="224" spans="1:26"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row>
    <row r="225" spans="1:26"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row>
    <row r="226" spans="1:26"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row>
    <row r="227" spans="1:26"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row>
    <row r="228" spans="1:26"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row>
    <row r="229" spans="1:26"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row>
    <row r="230" spans="1:26"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row>
    <row r="231" spans="1:26"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row>
    <row r="232" spans="1:26"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row>
    <row r="233" spans="1:26"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row>
    <row r="234" spans="1:26"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row>
    <row r="235" spans="1:26"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row>
    <row r="236" spans="1:26"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row>
    <row r="237" spans="1:26"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row>
    <row r="238" spans="1:26"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row>
    <row r="239" spans="1:26"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row>
    <row r="240" spans="1:26"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row>
    <row r="241" spans="1:26"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row>
    <row r="242" spans="1:26"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row>
    <row r="243" spans="1:26"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row>
    <row r="244" spans="1:26"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row>
    <row r="245" spans="1:26"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row>
    <row r="246" spans="1:26"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row>
    <row r="247" spans="1:26"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row>
    <row r="248" spans="1:26"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row>
    <row r="249" spans="1:26"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row>
    <row r="250" spans="1:26"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row>
    <row r="251" spans="1:26"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row>
    <row r="252" spans="1:26"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row>
    <row r="253" spans="1:26"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row>
    <row r="254" spans="1:26"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row>
    <row r="255" spans="1:26"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row>
    <row r="256" spans="1:26"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row>
    <row r="257" spans="1:26"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row>
    <row r="258" spans="1:26"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row>
    <row r="259" spans="1:26"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row>
    <row r="260" spans="1:26"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row>
    <row r="261" spans="1:26"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row>
    <row r="262" spans="1:26"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row>
    <row r="263" spans="1:26"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row>
    <row r="264" spans="1:26"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row>
    <row r="265" spans="1:26"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row>
    <row r="266" spans="1:26"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row>
    <row r="267" spans="1:26"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row>
    <row r="268" spans="1:26"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row>
    <row r="269" spans="1:26"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row>
    <row r="270" spans="1:26"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row>
    <row r="271" spans="1:26"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row>
    <row r="272" spans="1:26"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row>
    <row r="273" spans="1:26"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row>
    <row r="274" spans="1:26"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row>
    <row r="275" spans="1:26"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row>
    <row r="276" spans="1:26"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row>
    <row r="277" spans="1:26"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row>
    <row r="278" spans="1:26"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row>
    <row r="279" spans="1:26"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row>
    <row r="280" spans="1:26"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row>
    <row r="281" spans="1:26"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row>
    <row r="282" spans="1:26"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row>
    <row r="283" spans="1:26"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row>
    <row r="284" spans="1:26"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row>
    <row r="285" spans="1:26"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row>
    <row r="286" spans="1:26"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row>
    <row r="287" spans="1:26"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row>
    <row r="288" spans="1:26"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row>
    <row r="289" spans="1:26"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row>
    <row r="290" spans="1:26"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row>
    <row r="291" spans="1:26"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row>
    <row r="292" spans="1:26"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row>
    <row r="293" spans="1:26"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row>
    <row r="294" spans="1:26"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row>
    <row r="295" spans="1:26"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row>
    <row r="296" spans="1:26"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row>
    <row r="297" spans="1:26"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row>
    <row r="298" spans="1:26"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row>
    <row r="299" spans="1:26"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row>
    <row r="300" spans="1:26"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row>
    <row r="301" spans="1:26"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row>
    <row r="302" spans="1:26"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row>
    <row r="303" spans="1:26"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row>
    <row r="304" spans="1:26"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row>
    <row r="305" spans="1:26"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row>
    <row r="306" spans="1:26"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row>
    <row r="307" spans="1:26"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row>
    <row r="308" spans="1:26"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row>
    <row r="309" spans="1:26"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row>
    <row r="310" spans="1:26"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row>
    <row r="311" spans="1:26"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row>
    <row r="312" spans="1:26"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row>
    <row r="313" spans="1:26"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row>
    <row r="314" spans="1:26"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row>
    <row r="315" spans="1:26"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row>
    <row r="316" spans="1:26"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row>
    <row r="317" spans="1:26"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row>
    <row r="318" spans="1:26"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row>
    <row r="319" spans="1:26"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row>
    <row r="320" spans="1:26"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row>
    <row r="321" spans="1:26"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row>
    <row r="322" spans="1:26"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row>
    <row r="323" spans="1:26"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row>
    <row r="324" spans="1:26"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row>
    <row r="325" spans="1:26"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row>
    <row r="326" spans="1:26"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row>
    <row r="327" spans="1:26"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row>
    <row r="328" spans="1:26"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row>
    <row r="329" spans="1:26"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row>
    <row r="330" spans="1:26"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row>
    <row r="331" spans="1:26"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row>
    <row r="332" spans="1:26"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row>
    <row r="333" spans="1:26"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row>
    <row r="334" spans="1:26"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row>
    <row r="335" spans="1:26"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row>
    <row r="336" spans="1:26"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row>
    <row r="337" spans="1:26"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row>
    <row r="338" spans="1:26"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row>
    <row r="339" spans="1:26"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row>
    <row r="340" spans="1:26"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row>
    <row r="341" spans="1:26"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row>
    <row r="342" spans="1:26"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row>
    <row r="343" spans="1:26"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row>
    <row r="344" spans="1:26"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row>
    <row r="345" spans="1:26"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row>
    <row r="346" spans="1:26"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row>
    <row r="347" spans="1:26"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row>
    <row r="348" spans="1:26"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row>
    <row r="349" spans="1:26"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row>
    <row r="350" spans="1:26"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row>
    <row r="351" spans="1:26"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row>
    <row r="352" spans="1:26"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row>
    <row r="353" spans="1:26"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row>
    <row r="354" spans="1:26"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row>
    <row r="355" spans="1:26"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row>
    <row r="356" spans="1:26"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row>
    <row r="357" spans="1:26"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row>
    <row r="358" spans="1:26"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row>
    <row r="359" spans="1:26"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row>
    <row r="360" spans="1:26"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4" workbookViewId="0">
      <selection activeCell="C23" sqref="C23"/>
    </sheetView>
  </sheetViews>
  <sheetFormatPr defaultRowHeight="15" x14ac:dyDescent="0.25"/>
  <cols>
    <col min="1" max="1" width="9.140625" style="115"/>
    <col min="2" max="2" width="28" style="115" customWidth="1"/>
    <col min="3" max="3" width="24.140625" style="115" customWidth="1"/>
    <col min="4" max="4" width="20" style="115" customWidth="1"/>
    <col min="5" max="5" width="15.85546875" style="115" customWidth="1"/>
    <col min="6" max="16384" width="9.140625" style="115"/>
  </cols>
  <sheetData>
    <row r="1" spans="1:6" ht="18.75" x14ac:dyDescent="0.25">
      <c r="A1" s="38"/>
      <c r="B1" s="39"/>
      <c r="C1" s="39"/>
      <c r="D1" s="39"/>
      <c r="E1" s="39"/>
      <c r="F1" s="40" t="s">
        <v>23</v>
      </c>
    </row>
    <row r="2" spans="1:6" ht="18.75" x14ac:dyDescent="0.3">
      <c r="A2" s="38"/>
      <c r="B2" s="39"/>
      <c r="C2" s="39"/>
      <c r="D2" s="39"/>
      <c r="E2" s="39"/>
      <c r="F2" s="41" t="s">
        <v>7</v>
      </c>
    </row>
    <row r="3" spans="1:6" ht="18.75" x14ac:dyDescent="0.3">
      <c r="A3" s="42"/>
      <c r="B3" s="39"/>
      <c r="C3" s="39"/>
      <c r="D3" s="39"/>
      <c r="E3" s="39"/>
      <c r="F3" s="41" t="s">
        <v>22</v>
      </c>
    </row>
    <row r="4" spans="1:6" ht="15.75" x14ac:dyDescent="0.25">
      <c r="A4" s="42"/>
      <c r="B4" s="39"/>
      <c r="C4" s="39"/>
      <c r="D4" s="39"/>
      <c r="E4" s="39"/>
      <c r="F4" s="39"/>
    </row>
    <row r="5" spans="1:6" ht="15.75" x14ac:dyDescent="0.25">
      <c r="A5" s="209" t="str">
        <f>'1. паспорт местоположение'!$A$5</f>
        <v>Год раскрытия информации: 2019 год</v>
      </c>
      <c r="B5" s="209"/>
      <c r="C5" s="209"/>
      <c r="D5" s="209"/>
      <c r="E5" s="209"/>
      <c r="F5" s="209"/>
    </row>
    <row r="6" spans="1:6" ht="15.75" x14ac:dyDescent="0.25">
      <c r="A6" s="43"/>
      <c r="B6" s="44"/>
      <c r="C6" s="44"/>
      <c r="D6" s="44"/>
      <c r="E6" s="44"/>
      <c r="F6" s="44"/>
    </row>
    <row r="7" spans="1:6" ht="18.75" x14ac:dyDescent="0.25">
      <c r="A7" s="228" t="s">
        <v>6</v>
      </c>
      <c r="B7" s="228"/>
      <c r="C7" s="228"/>
      <c r="D7" s="228"/>
      <c r="E7" s="228"/>
      <c r="F7" s="228"/>
    </row>
    <row r="8" spans="1:6" ht="18.75" x14ac:dyDescent="0.25">
      <c r="A8" s="86"/>
      <c r="B8" s="86"/>
      <c r="C8" s="86"/>
      <c r="D8" s="86"/>
      <c r="E8" s="86"/>
      <c r="F8" s="86"/>
    </row>
    <row r="9" spans="1:6" ht="15.75" x14ac:dyDescent="0.25">
      <c r="A9" s="266" t="s">
        <v>252</v>
      </c>
      <c r="B9" s="266"/>
      <c r="C9" s="266"/>
      <c r="D9" s="266"/>
      <c r="E9" s="266"/>
      <c r="F9" s="266"/>
    </row>
    <row r="10" spans="1:6" ht="15.75" x14ac:dyDescent="0.25">
      <c r="A10" s="220" t="s">
        <v>5</v>
      </c>
      <c r="B10" s="220"/>
      <c r="C10" s="220"/>
      <c r="D10" s="220"/>
      <c r="E10" s="220"/>
      <c r="F10" s="220"/>
    </row>
    <row r="11" spans="1:6" ht="18.75" x14ac:dyDescent="0.25">
      <c r="A11" s="86"/>
      <c r="B11" s="86"/>
      <c r="C11" s="86"/>
      <c r="D11" s="86"/>
      <c r="E11" s="86"/>
      <c r="F11" s="86"/>
    </row>
    <row r="12" spans="1:6" ht="15.75" x14ac:dyDescent="0.25">
      <c r="A12" s="266" t="str">
        <f>'4. Паспорт бюджет'!A12:O12</f>
        <v>I_Che134</v>
      </c>
      <c r="B12" s="266"/>
      <c r="C12" s="266"/>
      <c r="D12" s="266"/>
      <c r="E12" s="266"/>
      <c r="F12" s="266"/>
    </row>
    <row r="13" spans="1:6" ht="15.75" x14ac:dyDescent="0.25">
      <c r="A13" s="220" t="s">
        <v>4</v>
      </c>
      <c r="B13" s="220"/>
      <c r="C13" s="220"/>
      <c r="D13" s="220"/>
      <c r="E13" s="220"/>
      <c r="F13" s="220"/>
    </row>
    <row r="14" spans="1:6" ht="18.75" x14ac:dyDescent="0.25">
      <c r="A14" s="45"/>
      <c r="B14" s="45"/>
      <c r="C14" s="45"/>
      <c r="D14" s="45"/>
      <c r="E14" s="45"/>
      <c r="F14" s="45"/>
    </row>
    <row r="15" spans="1:6" ht="53.25" customHeight="1" x14ac:dyDescent="0.25">
      <c r="A15" s="216"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67"/>
      <c r="C15" s="267"/>
      <c r="D15" s="267"/>
      <c r="E15" s="267"/>
      <c r="F15" s="267"/>
    </row>
    <row r="16" spans="1:6" ht="15.75" x14ac:dyDescent="0.25">
      <c r="A16" s="220" t="s">
        <v>3</v>
      </c>
      <c r="B16" s="220"/>
      <c r="C16" s="220"/>
      <c r="D16" s="220"/>
      <c r="E16" s="220"/>
      <c r="F16" s="220"/>
    </row>
    <row r="17" spans="1:6" ht="18.75" x14ac:dyDescent="0.25">
      <c r="A17" s="46"/>
      <c r="B17" s="46"/>
      <c r="C17" s="46"/>
      <c r="D17" s="46"/>
      <c r="E17" s="46"/>
      <c r="F17" s="46"/>
    </row>
    <row r="18" spans="1:6" ht="18.75" x14ac:dyDescent="0.25">
      <c r="A18" s="219" t="s">
        <v>257</v>
      </c>
      <c r="B18" s="219"/>
      <c r="C18" s="219"/>
      <c r="D18" s="219"/>
      <c r="E18" s="219"/>
      <c r="F18" s="219"/>
    </row>
    <row r="19" spans="1:6" x14ac:dyDescent="0.25">
      <c r="A19" s="47"/>
      <c r="B19" s="47"/>
      <c r="C19" s="47"/>
      <c r="D19" s="47"/>
      <c r="E19" s="47"/>
      <c r="F19" s="47"/>
    </row>
    <row r="20" spans="1:6" ht="15.75" thickBot="1" x14ac:dyDescent="0.3">
      <c r="A20" s="47"/>
      <c r="B20" s="47"/>
      <c r="C20" s="47"/>
      <c r="D20" s="47"/>
      <c r="E20" s="47"/>
      <c r="F20" s="47"/>
    </row>
    <row r="21" spans="1:6" ht="15.75" x14ac:dyDescent="0.25">
      <c r="A21" s="47"/>
      <c r="B21" s="260" t="s">
        <v>258</v>
      </c>
      <c r="C21" s="261"/>
      <c r="D21" s="261"/>
      <c r="E21" s="262"/>
      <c r="F21" s="47"/>
    </row>
    <row r="22" spans="1:6" ht="15.75" x14ac:dyDescent="0.25">
      <c r="A22" s="47"/>
      <c r="B22" s="263" t="s">
        <v>259</v>
      </c>
      <c r="C22" s="264"/>
      <c r="D22" s="264" t="s">
        <v>260</v>
      </c>
      <c r="E22" s="265"/>
      <c r="F22" s="47"/>
    </row>
    <row r="23" spans="1:6" ht="63" x14ac:dyDescent="0.25">
      <c r="A23" s="47"/>
      <c r="B23" s="116" t="s">
        <v>261</v>
      </c>
      <c r="C23" s="117" t="s">
        <v>262</v>
      </c>
      <c r="D23" s="117" t="s">
        <v>263</v>
      </c>
      <c r="E23" s="118" t="s">
        <v>264</v>
      </c>
      <c r="F23" s="47"/>
    </row>
    <row r="24" spans="1:6" ht="15.75" x14ac:dyDescent="0.25">
      <c r="A24" s="47"/>
      <c r="B24" s="119">
        <v>-8.5377581419551433E-3</v>
      </c>
      <c r="C24" s="120">
        <v>0.16583999570971719</v>
      </c>
      <c r="D24" s="121">
        <v>9</v>
      </c>
      <c r="E24" s="121" t="s">
        <v>473</v>
      </c>
      <c r="F24" s="47"/>
    </row>
    <row r="25" spans="1:6" x14ac:dyDescent="0.25">
      <c r="A25" s="47"/>
      <c r="B25" s="47"/>
      <c r="C25" s="47"/>
      <c r="D25" s="47"/>
      <c r="E25" s="47"/>
      <c r="F25" s="47"/>
    </row>
    <row r="26" spans="1:6" x14ac:dyDescent="0.25">
      <c r="A26" s="47"/>
      <c r="B26" s="47"/>
      <c r="C26" s="47"/>
      <c r="D26" s="47"/>
      <c r="E26" s="47"/>
      <c r="F26" s="47"/>
    </row>
    <row r="27" spans="1:6" x14ac:dyDescent="0.25">
      <c r="A27" s="47"/>
      <c r="B27" s="47"/>
      <c r="C27" s="47"/>
      <c r="D27" s="47"/>
      <c r="E27" s="47"/>
      <c r="F27" s="47"/>
    </row>
    <row r="28" spans="1:6" x14ac:dyDescent="0.25">
      <c r="A28" s="47"/>
      <c r="B28" s="47"/>
      <c r="C28" s="47"/>
      <c r="D28" s="47"/>
      <c r="E28" s="47"/>
      <c r="F28" s="47"/>
    </row>
    <row r="29" spans="1:6" x14ac:dyDescent="0.25">
      <c r="A29" s="47"/>
      <c r="B29" s="47"/>
      <c r="C29" s="47"/>
      <c r="D29" s="47"/>
      <c r="E29" s="47"/>
      <c r="F29" s="47"/>
    </row>
    <row r="30" spans="1:6" x14ac:dyDescent="0.25">
      <c r="A30" s="47"/>
      <c r="B30" s="47"/>
      <c r="C30" s="47"/>
      <c r="D30" s="47"/>
      <c r="E30" s="47"/>
      <c r="F30" s="47"/>
    </row>
    <row r="31" spans="1:6" x14ac:dyDescent="0.25">
      <c r="A31" s="47"/>
      <c r="B31" s="47"/>
      <c r="C31" s="47"/>
      <c r="D31" s="47"/>
      <c r="E31" s="47"/>
      <c r="F31" s="47"/>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10" zoomScale="60" zoomScaleNormal="60" workbookViewId="0">
      <pane xSplit="2" ySplit="15" topLeftCell="C43" activePane="bottomRight" state="frozen"/>
      <selection activeCell="A10" sqref="A10"/>
      <selection pane="topRight" activeCell="C10" sqref="C10"/>
      <selection pane="bottomLeft" activeCell="A25" sqref="A25"/>
      <selection pane="bottomRight" activeCell="G26" sqref="G26:H54"/>
    </sheetView>
  </sheetViews>
  <sheetFormatPr defaultColWidth="0" defaultRowHeight="15.75" x14ac:dyDescent="0.25"/>
  <cols>
    <col min="1" max="1" width="9.140625" style="7" customWidth="1"/>
    <col min="2" max="2" width="50.140625" style="7" customWidth="1"/>
    <col min="3" max="4" width="14.5703125" style="7" customWidth="1"/>
    <col min="5" max="6" width="14.5703125" style="7" hidden="1" customWidth="1"/>
    <col min="7" max="8" width="14.5703125" style="7" customWidth="1"/>
    <col min="9" max="10" width="18.28515625" style="7" customWidth="1"/>
    <col min="11" max="11" width="18.42578125" style="7" customWidth="1"/>
    <col min="12" max="12" width="27.140625" style="7" customWidth="1"/>
    <col min="13" max="252" width="9.140625" style="7" customWidth="1"/>
    <col min="253" max="253" width="37.7109375" style="7" customWidth="1"/>
    <col min="254" max="254" width="9.140625" style="7" customWidth="1"/>
    <col min="255" max="255" width="12.85546875" style="7" customWidth="1"/>
    <col min="256" max="16384" width="0" style="7" hidden="1"/>
  </cols>
  <sheetData>
    <row r="1" spans="1:44" ht="18.75" x14ac:dyDescent="0.25">
      <c r="L1" s="40" t="s">
        <v>23</v>
      </c>
    </row>
    <row r="2" spans="1:44" ht="18.75" x14ac:dyDescent="0.3">
      <c r="L2" s="41" t="s">
        <v>7</v>
      </c>
    </row>
    <row r="3" spans="1:44" ht="18.75" x14ac:dyDescent="0.3">
      <c r="L3" s="41" t="s">
        <v>22</v>
      </c>
    </row>
    <row r="4" spans="1:44" ht="18.75" x14ac:dyDescent="0.3">
      <c r="K4" s="41"/>
    </row>
    <row r="5" spans="1:44" x14ac:dyDescent="0.25">
      <c r="A5" s="209" t="str">
        <f>'1. паспорт местоположение'!$A$5</f>
        <v>Год раскрытия информации: 2019 год</v>
      </c>
      <c r="B5" s="209"/>
      <c r="C5" s="209"/>
      <c r="D5" s="209"/>
      <c r="E5" s="209"/>
      <c r="F5" s="209"/>
      <c r="G5" s="209"/>
      <c r="H5" s="209"/>
      <c r="I5" s="209"/>
      <c r="J5" s="209"/>
      <c r="K5" s="209"/>
      <c r="L5" s="209"/>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8.75" x14ac:dyDescent="0.3">
      <c r="K6" s="41"/>
    </row>
    <row r="7" spans="1:44" ht="18.75" x14ac:dyDescent="0.25">
      <c r="A7" s="213" t="s">
        <v>6</v>
      </c>
      <c r="B7" s="213"/>
      <c r="C7" s="213"/>
      <c r="D7" s="213"/>
      <c r="E7" s="213"/>
      <c r="F7" s="213"/>
      <c r="G7" s="213"/>
      <c r="H7" s="213"/>
      <c r="I7" s="213"/>
      <c r="J7" s="213"/>
      <c r="K7" s="213"/>
      <c r="L7" s="213"/>
    </row>
    <row r="8" spans="1:44" ht="18.75" x14ac:dyDescent="0.25">
      <c r="A8" s="213"/>
      <c r="B8" s="213"/>
      <c r="C8" s="213"/>
      <c r="D8" s="213"/>
      <c r="E8" s="213"/>
      <c r="F8" s="213"/>
      <c r="G8" s="213"/>
      <c r="H8" s="213"/>
      <c r="I8" s="213"/>
      <c r="J8" s="213"/>
      <c r="K8" s="213"/>
      <c r="L8" s="213"/>
    </row>
    <row r="9" spans="1:44" x14ac:dyDescent="0.25">
      <c r="A9" s="214" t="s">
        <v>252</v>
      </c>
      <c r="B9" s="214"/>
      <c r="C9" s="214"/>
      <c r="D9" s="214"/>
      <c r="E9" s="214"/>
      <c r="F9" s="214"/>
      <c r="G9" s="214"/>
      <c r="H9" s="214"/>
      <c r="I9" s="214"/>
      <c r="J9" s="214"/>
      <c r="K9" s="214"/>
      <c r="L9" s="214"/>
    </row>
    <row r="10" spans="1:44" x14ac:dyDescent="0.25">
      <c r="A10" s="215" t="s">
        <v>5</v>
      </c>
      <c r="B10" s="215"/>
      <c r="C10" s="215"/>
      <c r="D10" s="215"/>
      <c r="E10" s="215"/>
      <c r="F10" s="215"/>
      <c r="G10" s="215"/>
      <c r="H10" s="215"/>
      <c r="I10" s="215"/>
      <c r="J10" s="215"/>
      <c r="K10" s="215"/>
      <c r="L10" s="215"/>
    </row>
    <row r="11" spans="1:44" ht="18.75" x14ac:dyDescent="0.25">
      <c r="A11" s="213"/>
      <c r="B11" s="213"/>
      <c r="C11" s="213"/>
      <c r="D11" s="213"/>
      <c r="E11" s="213"/>
      <c r="F11" s="213"/>
      <c r="G11" s="213"/>
      <c r="H11" s="213"/>
      <c r="I11" s="213"/>
      <c r="J11" s="213"/>
      <c r="K11" s="213"/>
      <c r="L11" s="213"/>
    </row>
    <row r="12" spans="1:44" x14ac:dyDescent="0.25">
      <c r="A12" s="214" t="str">
        <f>'5 анализ эконом эфф'!A12:F12</f>
        <v>I_Che134</v>
      </c>
      <c r="B12" s="214"/>
      <c r="C12" s="214"/>
      <c r="D12" s="214"/>
      <c r="E12" s="214"/>
      <c r="F12" s="214"/>
      <c r="G12" s="214"/>
      <c r="H12" s="214"/>
      <c r="I12" s="214"/>
      <c r="J12" s="214"/>
      <c r="K12" s="214"/>
      <c r="L12" s="214"/>
    </row>
    <row r="13" spans="1:44" x14ac:dyDescent="0.25">
      <c r="A13" s="215" t="s">
        <v>4</v>
      </c>
      <c r="B13" s="215"/>
      <c r="C13" s="215"/>
      <c r="D13" s="215"/>
      <c r="E13" s="215"/>
      <c r="F13" s="215"/>
      <c r="G13" s="215"/>
      <c r="H13" s="215"/>
      <c r="I13" s="215"/>
      <c r="J13" s="215"/>
      <c r="K13" s="215"/>
      <c r="L13" s="215"/>
    </row>
    <row r="14" spans="1:44" ht="18.75" x14ac:dyDescent="0.25">
      <c r="A14" s="245"/>
      <c r="B14" s="245"/>
      <c r="C14" s="245"/>
      <c r="D14" s="245"/>
      <c r="E14" s="245"/>
      <c r="F14" s="245"/>
      <c r="G14" s="245"/>
      <c r="H14" s="245"/>
      <c r="I14" s="245"/>
      <c r="J14" s="245"/>
      <c r="K14" s="245"/>
      <c r="L14" s="245"/>
    </row>
    <row r="15" spans="1:44" ht="43.5" customHeight="1" x14ac:dyDescent="0.25">
      <c r="A15" s="216" t="str">
        <f>'1. паспорт местоположение'!A15:C15</f>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
      <c r="B15" s="216"/>
      <c r="C15" s="216"/>
      <c r="D15" s="216"/>
      <c r="E15" s="216"/>
      <c r="F15" s="216"/>
      <c r="G15" s="216"/>
      <c r="H15" s="216"/>
      <c r="I15" s="216"/>
      <c r="J15" s="216"/>
      <c r="K15" s="216"/>
      <c r="L15" s="216"/>
    </row>
    <row r="16" spans="1:44" x14ac:dyDescent="0.25">
      <c r="A16" s="215" t="s">
        <v>3</v>
      </c>
      <c r="B16" s="215"/>
      <c r="C16" s="215"/>
      <c r="D16" s="215"/>
      <c r="E16" s="215"/>
      <c r="F16" s="215"/>
      <c r="G16" s="215"/>
      <c r="H16" s="215"/>
      <c r="I16" s="215"/>
      <c r="J16" s="215"/>
      <c r="K16" s="215"/>
      <c r="L16" s="215"/>
    </row>
    <row r="17" spans="1:12" ht="15.75" customHeight="1" x14ac:dyDescent="0.25">
      <c r="L17" s="87"/>
    </row>
    <row r="18" spans="1:12" x14ac:dyDescent="0.25">
      <c r="K18" s="5"/>
    </row>
    <row r="19" spans="1:12" ht="15.75" customHeight="1" x14ac:dyDescent="0.25">
      <c r="A19" s="271" t="s">
        <v>240</v>
      </c>
      <c r="B19" s="271"/>
      <c r="C19" s="271"/>
      <c r="D19" s="271"/>
      <c r="E19" s="271"/>
      <c r="F19" s="271"/>
      <c r="G19" s="271"/>
      <c r="H19" s="271"/>
      <c r="I19" s="271"/>
      <c r="J19" s="271"/>
      <c r="K19" s="271"/>
      <c r="L19" s="271"/>
    </row>
    <row r="20" spans="1:12" x14ac:dyDescent="0.25">
      <c r="A20" s="91"/>
      <c r="B20" s="91"/>
      <c r="C20" s="8"/>
      <c r="D20" s="8"/>
      <c r="E20" s="8"/>
      <c r="F20" s="8"/>
      <c r="G20" s="8"/>
      <c r="H20" s="8"/>
      <c r="I20" s="8"/>
      <c r="J20" s="8"/>
      <c r="K20" s="8"/>
      <c r="L20" s="8"/>
    </row>
    <row r="21" spans="1:12" ht="28.5" customHeight="1" x14ac:dyDescent="0.25">
      <c r="A21" s="273" t="s">
        <v>130</v>
      </c>
      <c r="B21" s="273" t="s">
        <v>129</v>
      </c>
      <c r="C21" s="272" t="s">
        <v>190</v>
      </c>
      <c r="D21" s="272"/>
      <c r="E21" s="272"/>
      <c r="F21" s="272"/>
      <c r="G21" s="272"/>
      <c r="H21" s="272"/>
      <c r="I21" s="274" t="s">
        <v>128</v>
      </c>
      <c r="J21" s="268" t="s">
        <v>192</v>
      </c>
      <c r="K21" s="273" t="s">
        <v>127</v>
      </c>
      <c r="L21" s="275" t="s">
        <v>191</v>
      </c>
    </row>
    <row r="22" spans="1:12" ht="58.5" customHeight="1" x14ac:dyDescent="0.25">
      <c r="A22" s="273"/>
      <c r="B22" s="273"/>
      <c r="C22" s="278" t="s">
        <v>1</v>
      </c>
      <c r="D22" s="278"/>
      <c r="E22" s="33"/>
      <c r="F22" s="34"/>
      <c r="G22" s="276" t="s">
        <v>0</v>
      </c>
      <c r="H22" s="277"/>
      <c r="I22" s="274"/>
      <c r="J22" s="269"/>
      <c r="K22" s="273"/>
      <c r="L22" s="275"/>
    </row>
    <row r="23" spans="1:12" ht="31.5" x14ac:dyDescent="0.25">
      <c r="A23" s="273"/>
      <c r="B23" s="273"/>
      <c r="C23" s="20" t="s">
        <v>126</v>
      </c>
      <c r="D23" s="20" t="s">
        <v>125</v>
      </c>
      <c r="E23" s="20" t="s">
        <v>126</v>
      </c>
      <c r="F23" s="20" t="s">
        <v>125</v>
      </c>
      <c r="G23" s="20" t="s">
        <v>126</v>
      </c>
      <c r="H23" s="20" t="s">
        <v>125</v>
      </c>
      <c r="I23" s="274"/>
      <c r="J23" s="270"/>
      <c r="K23" s="273"/>
      <c r="L23" s="275"/>
    </row>
    <row r="24" spans="1:12" x14ac:dyDescent="0.25">
      <c r="A24" s="88">
        <v>1</v>
      </c>
      <c r="B24" s="88">
        <v>2</v>
      </c>
      <c r="C24" s="20">
        <v>3</v>
      </c>
      <c r="D24" s="20">
        <v>4</v>
      </c>
      <c r="E24" s="20">
        <v>5</v>
      </c>
      <c r="F24" s="20">
        <v>6</v>
      </c>
      <c r="G24" s="20">
        <v>7</v>
      </c>
      <c r="H24" s="20">
        <v>8</v>
      </c>
      <c r="I24" s="20">
        <v>9</v>
      </c>
      <c r="J24" s="20">
        <v>10</v>
      </c>
      <c r="K24" s="20">
        <v>11</v>
      </c>
      <c r="L24" s="20">
        <v>12</v>
      </c>
    </row>
    <row r="25" spans="1:12" x14ac:dyDescent="0.25">
      <c r="A25" s="20">
        <v>1</v>
      </c>
      <c r="B25" s="108" t="s">
        <v>124</v>
      </c>
      <c r="C25" s="108"/>
      <c r="D25" s="19"/>
      <c r="E25" s="19"/>
      <c r="F25" s="19"/>
      <c r="G25" s="19"/>
      <c r="H25" s="19"/>
      <c r="I25" s="19"/>
      <c r="J25" s="19"/>
      <c r="K25" s="17"/>
      <c r="L25" s="22"/>
    </row>
    <row r="26" spans="1:12" ht="21.75" customHeight="1" x14ac:dyDescent="0.25">
      <c r="A26" s="20" t="s">
        <v>123</v>
      </c>
      <c r="B26" s="109" t="s">
        <v>194</v>
      </c>
      <c r="C26" s="110">
        <v>42122</v>
      </c>
      <c r="D26" s="110">
        <v>42122</v>
      </c>
      <c r="E26" s="19"/>
      <c r="F26" s="19"/>
      <c r="G26" s="110">
        <v>42122</v>
      </c>
      <c r="H26" s="110">
        <v>42122</v>
      </c>
      <c r="I26" s="199">
        <v>1</v>
      </c>
      <c r="J26" s="199">
        <v>1</v>
      </c>
      <c r="K26" s="17"/>
      <c r="L26" s="17"/>
    </row>
    <row r="27" spans="1:12" s="9" customFormat="1" ht="39" customHeight="1" x14ac:dyDescent="0.25">
      <c r="A27" s="20" t="s">
        <v>122</v>
      </c>
      <c r="B27" s="109" t="s">
        <v>196</v>
      </c>
      <c r="C27" s="111" t="s">
        <v>253</v>
      </c>
      <c r="D27" s="111" t="s">
        <v>253</v>
      </c>
      <c r="E27" s="19"/>
      <c r="F27" s="19"/>
      <c r="G27" s="111" t="s">
        <v>253</v>
      </c>
      <c r="H27" s="111" t="s">
        <v>253</v>
      </c>
      <c r="I27" s="199" t="s">
        <v>319</v>
      </c>
      <c r="J27" s="199" t="s">
        <v>319</v>
      </c>
      <c r="K27" s="17"/>
      <c r="L27" s="17"/>
    </row>
    <row r="28" spans="1:12" s="9" customFormat="1" ht="70.5" customHeight="1" x14ac:dyDescent="0.25">
      <c r="A28" s="20" t="s">
        <v>195</v>
      </c>
      <c r="B28" s="109" t="s">
        <v>200</v>
      </c>
      <c r="C28" s="111" t="s">
        <v>253</v>
      </c>
      <c r="D28" s="111" t="s">
        <v>253</v>
      </c>
      <c r="E28" s="19"/>
      <c r="F28" s="19"/>
      <c r="G28" s="111" t="s">
        <v>253</v>
      </c>
      <c r="H28" s="111" t="s">
        <v>253</v>
      </c>
      <c r="I28" s="199" t="s">
        <v>319</v>
      </c>
      <c r="J28" s="199" t="s">
        <v>319</v>
      </c>
      <c r="K28" s="17"/>
      <c r="L28" s="17"/>
    </row>
    <row r="29" spans="1:12" s="9" customFormat="1" ht="54" customHeight="1" x14ac:dyDescent="0.25">
      <c r="A29" s="20" t="s">
        <v>121</v>
      </c>
      <c r="B29" s="109" t="s">
        <v>199</v>
      </c>
      <c r="C29" s="111" t="s">
        <v>253</v>
      </c>
      <c r="D29" s="111" t="s">
        <v>253</v>
      </c>
      <c r="E29" s="19"/>
      <c r="F29" s="19"/>
      <c r="G29" s="111" t="s">
        <v>253</v>
      </c>
      <c r="H29" s="111" t="s">
        <v>253</v>
      </c>
      <c r="I29" s="199" t="s">
        <v>319</v>
      </c>
      <c r="J29" s="199" t="s">
        <v>319</v>
      </c>
      <c r="K29" s="17"/>
      <c r="L29" s="17"/>
    </row>
    <row r="30" spans="1:12" s="9" customFormat="1" ht="42" customHeight="1" x14ac:dyDescent="0.25">
      <c r="A30" s="20" t="s">
        <v>120</v>
      </c>
      <c r="B30" s="109" t="s">
        <v>201</v>
      </c>
      <c r="C30" s="111" t="s">
        <v>253</v>
      </c>
      <c r="D30" s="111" t="s">
        <v>253</v>
      </c>
      <c r="E30" s="19"/>
      <c r="F30" s="19"/>
      <c r="G30" s="111" t="s">
        <v>253</v>
      </c>
      <c r="H30" s="111" t="s">
        <v>253</v>
      </c>
      <c r="I30" s="199" t="s">
        <v>319</v>
      </c>
      <c r="J30" s="199" t="s">
        <v>319</v>
      </c>
      <c r="K30" s="17"/>
      <c r="L30" s="17"/>
    </row>
    <row r="31" spans="1:12" s="9" customFormat="1" ht="37.5" customHeight="1" x14ac:dyDescent="0.25">
      <c r="A31" s="20" t="s">
        <v>119</v>
      </c>
      <c r="B31" s="112" t="s">
        <v>197</v>
      </c>
      <c r="C31" s="111" t="s">
        <v>253</v>
      </c>
      <c r="D31" s="111" t="s">
        <v>253</v>
      </c>
      <c r="E31" s="19"/>
      <c r="F31" s="19"/>
      <c r="G31" s="111" t="s">
        <v>253</v>
      </c>
      <c r="H31" s="111" t="s">
        <v>253</v>
      </c>
      <c r="I31" s="199" t="s">
        <v>319</v>
      </c>
      <c r="J31" s="199" t="s">
        <v>319</v>
      </c>
      <c r="K31" s="17"/>
      <c r="L31" s="17"/>
    </row>
    <row r="32" spans="1:12" s="9" customFormat="1" x14ac:dyDescent="0.25">
      <c r="A32" s="20" t="s">
        <v>117</v>
      </c>
      <c r="B32" s="112" t="s">
        <v>202</v>
      </c>
      <c r="C32" s="111" t="s">
        <v>253</v>
      </c>
      <c r="D32" s="111" t="s">
        <v>253</v>
      </c>
      <c r="E32" s="111"/>
      <c r="F32" s="111"/>
      <c r="G32" s="111" t="s">
        <v>253</v>
      </c>
      <c r="H32" s="111" t="s">
        <v>253</v>
      </c>
      <c r="I32" s="199" t="s">
        <v>319</v>
      </c>
      <c r="J32" s="199" t="s">
        <v>319</v>
      </c>
      <c r="K32" s="17"/>
      <c r="L32" s="17"/>
    </row>
    <row r="33" spans="1:12" s="9" customFormat="1" ht="37.5" customHeight="1" x14ac:dyDescent="0.25">
      <c r="A33" s="20" t="s">
        <v>213</v>
      </c>
      <c r="B33" s="112" t="s">
        <v>143</v>
      </c>
      <c r="C33" s="111" t="s">
        <v>253</v>
      </c>
      <c r="D33" s="111" t="s">
        <v>253</v>
      </c>
      <c r="E33" s="111"/>
      <c r="F33" s="111"/>
      <c r="G33" s="111" t="s">
        <v>253</v>
      </c>
      <c r="H33" s="111" t="s">
        <v>253</v>
      </c>
      <c r="I33" s="199" t="s">
        <v>319</v>
      </c>
      <c r="J33" s="199" t="s">
        <v>319</v>
      </c>
      <c r="K33" s="17"/>
      <c r="L33" s="17"/>
    </row>
    <row r="34" spans="1:12" s="9" customFormat="1" ht="47.25" customHeight="1" x14ac:dyDescent="0.25">
      <c r="A34" s="20" t="s">
        <v>214</v>
      </c>
      <c r="B34" s="112" t="s">
        <v>206</v>
      </c>
      <c r="C34" s="200" t="s">
        <v>253</v>
      </c>
      <c r="D34" s="200" t="s">
        <v>253</v>
      </c>
      <c r="E34" s="18"/>
      <c r="F34" s="18"/>
      <c r="G34" s="200" t="s">
        <v>253</v>
      </c>
      <c r="H34" s="200" t="s">
        <v>253</v>
      </c>
      <c r="I34" s="199" t="s">
        <v>319</v>
      </c>
      <c r="J34" s="199" t="s">
        <v>319</v>
      </c>
      <c r="K34" s="18"/>
      <c r="L34" s="17"/>
    </row>
    <row r="35" spans="1:12" s="9" customFormat="1" x14ac:dyDescent="0.25">
      <c r="A35" s="20" t="s">
        <v>215</v>
      </c>
      <c r="B35" s="112" t="s">
        <v>118</v>
      </c>
      <c r="C35" s="200" t="s">
        <v>253</v>
      </c>
      <c r="D35" s="200" t="s">
        <v>253</v>
      </c>
      <c r="E35" s="111"/>
      <c r="F35" s="111"/>
      <c r="G35" s="200" t="s">
        <v>253</v>
      </c>
      <c r="H35" s="200" t="s">
        <v>253</v>
      </c>
      <c r="I35" s="199" t="s">
        <v>319</v>
      </c>
      <c r="J35" s="199" t="s">
        <v>319</v>
      </c>
      <c r="K35" s="18"/>
      <c r="L35" s="17"/>
    </row>
    <row r="36" spans="1:12" x14ac:dyDescent="0.25">
      <c r="A36" s="20" t="s">
        <v>216</v>
      </c>
      <c r="B36" s="112" t="s">
        <v>198</v>
      </c>
      <c r="C36" s="200" t="s">
        <v>253</v>
      </c>
      <c r="D36" s="200" t="s">
        <v>253</v>
      </c>
      <c r="E36" s="113"/>
      <c r="F36" s="114"/>
      <c r="G36" s="200" t="s">
        <v>253</v>
      </c>
      <c r="H36" s="200" t="s">
        <v>253</v>
      </c>
      <c r="I36" s="199" t="s">
        <v>319</v>
      </c>
      <c r="J36" s="199" t="s">
        <v>319</v>
      </c>
      <c r="K36" s="17"/>
      <c r="L36" s="17"/>
    </row>
    <row r="37" spans="1:12" ht="21" customHeight="1" x14ac:dyDescent="0.25">
      <c r="A37" s="20" t="s">
        <v>217</v>
      </c>
      <c r="B37" s="112" t="s">
        <v>116</v>
      </c>
      <c r="C37" s="200" t="s">
        <v>253</v>
      </c>
      <c r="D37" s="200" t="s">
        <v>253</v>
      </c>
      <c r="E37" s="113"/>
      <c r="F37" s="114"/>
      <c r="G37" s="200" t="s">
        <v>253</v>
      </c>
      <c r="H37" s="200" t="s">
        <v>253</v>
      </c>
      <c r="I37" s="199" t="s">
        <v>319</v>
      </c>
      <c r="J37" s="199" t="s">
        <v>319</v>
      </c>
      <c r="K37" s="17"/>
      <c r="L37" s="17"/>
    </row>
    <row r="38" spans="1:12" ht="24" customHeight="1" x14ac:dyDescent="0.25">
      <c r="A38" s="20" t="s">
        <v>218</v>
      </c>
      <c r="B38" s="108" t="s">
        <v>115</v>
      </c>
      <c r="C38" s="200"/>
      <c r="D38" s="200"/>
      <c r="E38" s="17"/>
      <c r="F38" s="17"/>
      <c r="G38" s="200"/>
      <c r="H38" s="200"/>
      <c r="I38" s="201"/>
      <c r="J38" s="201"/>
      <c r="K38" s="17"/>
      <c r="L38" s="17"/>
    </row>
    <row r="39" spans="1:12" ht="47.25" x14ac:dyDescent="0.25">
      <c r="A39" s="20">
        <v>2</v>
      </c>
      <c r="B39" s="112" t="s">
        <v>203</v>
      </c>
      <c r="C39" s="200" t="s">
        <v>253</v>
      </c>
      <c r="D39" s="200" t="s">
        <v>253</v>
      </c>
      <c r="E39" s="108"/>
      <c r="F39" s="108"/>
      <c r="G39" s="200" t="s">
        <v>253</v>
      </c>
      <c r="H39" s="200" t="s">
        <v>253</v>
      </c>
      <c r="I39" s="199" t="s">
        <v>319</v>
      </c>
      <c r="J39" s="199" t="s">
        <v>319</v>
      </c>
      <c r="K39" s="17"/>
      <c r="L39" s="17"/>
    </row>
    <row r="40" spans="1:12" x14ac:dyDescent="0.25">
      <c r="A40" s="20" t="s">
        <v>114</v>
      </c>
      <c r="B40" s="112" t="s">
        <v>205</v>
      </c>
      <c r="C40" s="203">
        <v>43414</v>
      </c>
      <c r="D40" s="203">
        <v>43432</v>
      </c>
      <c r="E40" s="17"/>
      <c r="F40" s="17"/>
      <c r="G40" s="203">
        <v>43414</v>
      </c>
      <c r="H40" s="203">
        <v>43432</v>
      </c>
      <c r="I40" s="199" t="s">
        <v>319</v>
      </c>
      <c r="J40" s="199" t="s">
        <v>319</v>
      </c>
      <c r="K40" s="17"/>
      <c r="L40" s="17"/>
    </row>
    <row r="41" spans="1:12" ht="31.5" x14ac:dyDescent="0.25">
      <c r="A41" s="20" t="s">
        <v>113</v>
      </c>
      <c r="B41" s="108" t="s">
        <v>251</v>
      </c>
      <c r="C41" s="203"/>
      <c r="D41" s="203"/>
      <c r="E41" s="17"/>
      <c r="F41" s="17"/>
      <c r="G41" s="203"/>
      <c r="H41" s="203"/>
      <c r="I41" s="202"/>
      <c r="J41" s="201"/>
      <c r="K41" s="17"/>
      <c r="L41" s="17"/>
    </row>
    <row r="42" spans="1:12" ht="31.5" x14ac:dyDescent="0.25">
      <c r="A42" s="20">
        <v>3</v>
      </c>
      <c r="B42" s="112" t="s">
        <v>204</v>
      </c>
      <c r="C42" s="200" t="s">
        <v>253</v>
      </c>
      <c r="D42" s="200" t="s">
        <v>253</v>
      </c>
      <c r="E42" s="17"/>
      <c r="F42" s="17"/>
      <c r="G42" s="200" t="s">
        <v>253</v>
      </c>
      <c r="H42" s="200" t="s">
        <v>253</v>
      </c>
      <c r="I42" s="199" t="s">
        <v>319</v>
      </c>
      <c r="J42" s="199" t="s">
        <v>319</v>
      </c>
      <c r="K42" s="17"/>
      <c r="L42" s="17"/>
    </row>
    <row r="43" spans="1:12" x14ac:dyDescent="0.25">
      <c r="A43" s="20" t="s">
        <v>112</v>
      </c>
      <c r="B43" s="112" t="s">
        <v>110</v>
      </c>
      <c r="C43" s="110">
        <v>43432</v>
      </c>
      <c r="D43" s="110">
        <v>43436</v>
      </c>
      <c r="E43" s="17"/>
      <c r="F43" s="17"/>
      <c r="G43" s="110">
        <v>43498</v>
      </c>
      <c r="H43" s="110">
        <v>43498</v>
      </c>
      <c r="I43" s="199" t="s">
        <v>319</v>
      </c>
      <c r="J43" s="199" t="s">
        <v>319</v>
      </c>
      <c r="K43" s="17"/>
      <c r="L43" s="17"/>
    </row>
    <row r="44" spans="1:12" x14ac:dyDescent="0.25">
      <c r="A44" s="20" t="s">
        <v>111</v>
      </c>
      <c r="B44" s="112" t="s">
        <v>108</v>
      </c>
      <c r="C44" s="110">
        <v>43436</v>
      </c>
      <c r="D44" s="203">
        <v>43452</v>
      </c>
      <c r="E44" s="17"/>
      <c r="F44" s="17"/>
      <c r="G44" s="203">
        <v>43601</v>
      </c>
      <c r="H44" s="203">
        <v>43603</v>
      </c>
      <c r="I44" s="199" t="s">
        <v>319</v>
      </c>
      <c r="J44" s="199" t="s">
        <v>319</v>
      </c>
      <c r="K44" s="17"/>
      <c r="L44" s="17"/>
    </row>
    <row r="45" spans="1:12" ht="63" x14ac:dyDescent="0.25">
      <c r="A45" s="20" t="s">
        <v>109</v>
      </c>
      <c r="B45" s="112" t="s">
        <v>209</v>
      </c>
      <c r="C45" s="111" t="s">
        <v>253</v>
      </c>
      <c r="D45" s="111" t="s">
        <v>253</v>
      </c>
      <c r="E45" s="17"/>
      <c r="F45" s="17"/>
      <c r="G45" s="111" t="s">
        <v>253</v>
      </c>
      <c r="H45" s="111" t="s">
        <v>253</v>
      </c>
      <c r="I45" s="199" t="s">
        <v>319</v>
      </c>
      <c r="J45" s="199" t="s">
        <v>319</v>
      </c>
      <c r="K45" s="17"/>
      <c r="L45" s="17"/>
    </row>
    <row r="46" spans="1:12" ht="117" customHeight="1" x14ac:dyDescent="0.25">
      <c r="A46" s="20" t="s">
        <v>107</v>
      </c>
      <c r="B46" s="112" t="s">
        <v>207</v>
      </c>
      <c r="C46" s="111" t="s">
        <v>253</v>
      </c>
      <c r="D46" s="111" t="s">
        <v>253</v>
      </c>
      <c r="E46" s="17"/>
      <c r="F46" s="17"/>
      <c r="G46" s="111" t="s">
        <v>253</v>
      </c>
      <c r="H46" s="111" t="s">
        <v>253</v>
      </c>
      <c r="I46" s="199" t="s">
        <v>319</v>
      </c>
      <c r="J46" s="199" t="s">
        <v>319</v>
      </c>
      <c r="K46" s="17"/>
      <c r="L46" s="17"/>
    </row>
    <row r="47" spans="1:12" x14ac:dyDescent="0.25">
      <c r="A47" s="20" t="s">
        <v>105</v>
      </c>
      <c r="B47" s="112" t="s">
        <v>106</v>
      </c>
      <c r="C47" s="111" t="s">
        <v>255</v>
      </c>
      <c r="D47" s="111" t="s">
        <v>255</v>
      </c>
      <c r="E47" s="17"/>
      <c r="F47" s="17"/>
      <c r="G47" s="111" t="s">
        <v>255</v>
      </c>
      <c r="H47" s="111" t="s">
        <v>255</v>
      </c>
      <c r="I47" s="199" t="s">
        <v>319</v>
      </c>
      <c r="J47" s="199" t="s">
        <v>319</v>
      </c>
      <c r="K47" s="17"/>
      <c r="L47" s="17"/>
    </row>
    <row r="48" spans="1:12" x14ac:dyDescent="0.25">
      <c r="A48" s="20" t="s">
        <v>219</v>
      </c>
      <c r="B48" s="108" t="s">
        <v>104</v>
      </c>
      <c r="C48" s="111"/>
      <c r="D48" s="111"/>
      <c r="E48" s="17"/>
      <c r="F48" s="17"/>
      <c r="G48" s="111"/>
      <c r="H48" s="111"/>
      <c r="I48" s="202"/>
      <c r="J48" s="201"/>
      <c r="K48" s="17"/>
      <c r="L48" s="17"/>
    </row>
    <row r="49" spans="1:12" x14ac:dyDescent="0.25">
      <c r="A49" s="20">
        <v>4</v>
      </c>
      <c r="B49" s="112" t="s">
        <v>102</v>
      </c>
      <c r="C49" s="111" t="s">
        <v>253</v>
      </c>
      <c r="D49" s="111" t="s">
        <v>253</v>
      </c>
      <c r="E49" s="17"/>
      <c r="F49" s="17"/>
      <c r="G49" s="111" t="s">
        <v>253</v>
      </c>
      <c r="H49" s="111" t="s">
        <v>253</v>
      </c>
      <c r="I49" s="199" t="s">
        <v>319</v>
      </c>
      <c r="J49" s="199" t="s">
        <v>319</v>
      </c>
      <c r="K49" s="17"/>
      <c r="L49" s="17"/>
    </row>
    <row r="50" spans="1:12" ht="69" customHeight="1" x14ac:dyDescent="0.25">
      <c r="A50" s="20" t="s">
        <v>103</v>
      </c>
      <c r="B50" s="112" t="s">
        <v>208</v>
      </c>
      <c r="C50" s="110">
        <v>43462</v>
      </c>
      <c r="D50" s="110">
        <v>43462</v>
      </c>
      <c r="E50" s="17"/>
      <c r="F50" s="17"/>
      <c r="G50" s="110">
        <v>43615</v>
      </c>
      <c r="H50" s="110">
        <v>43615</v>
      </c>
      <c r="I50" s="199" t="s">
        <v>319</v>
      </c>
      <c r="J50" s="199" t="s">
        <v>319</v>
      </c>
      <c r="K50" s="17"/>
      <c r="L50" s="17"/>
    </row>
    <row r="51" spans="1:12" ht="51" customHeight="1" x14ac:dyDescent="0.25">
      <c r="A51" s="20" t="s">
        <v>101</v>
      </c>
      <c r="B51" s="112" t="s">
        <v>210</v>
      </c>
      <c r="C51" s="111" t="s">
        <v>255</v>
      </c>
      <c r="D51" s="111" t="s">
        <v>255</v>
      </c>
      <c r="E51" s="17"/>
      <c r="F51" s="17"/>
      <c r="G51" s="111" t="s">
        <v>253</v>
      </c>
      <c r="H51" s="111" t="s">
        <v>253</v>
      </c>
      <c r="I51" s="199" t="s">
        <v>319</v>
      </c>
      <c r="J51" s="199" t="s">
        <v>319</v>
      </c>
      <c r="K51" s="17"/>
      <c r="L51" s="17"/>
    </row>
    <row r="52" spans="1:12" ht="47.25" x14ac:dyDescent="0.25">
      <c r="A52" s="20" t="s">
        <v>99</v>
      </c>
      <c r="B52" s="112" t="s">
        <v>100</v>
      </c>
      <c r="C52" s="110">
        <v>43464</v>
      </c>
      <c r="D52" s="110">
        <v>43464</v>
      </c>
      <c r="E52" s="17"/>
      <c r="F52" s="17"/>
      <c r="G52" s="110">
        <v>43615</v>
      </c>
      <c r="H52" s="110">
        <v>43615</v>
      </c>
      <c r="I52" s="199" t="s">
        <v>319</v>
      </c>
      <c r="J52" s="199" t="s">
        <v>319</v>
      </c>
      <c r="K52" s="17"/>
      <c r="L52" s="17"/>
    </row>
    <row r="53" spans="1:12" ht="31.5" x14ac:dyDescent="0.25">
      <c r="A53" s="20" t="s">
        <v>97</v>
      </c>
      <c r="B53" s="35" t="s">
        <v>211</v>
      </c>
      <c r="C53" s="110">
        <v>43462</v>
      </c>
      <c r="D53" s="110">
        <v>43462</v>
      </c>
      <c r="E53" s="17"/>
      <c r="F53" s="17"/>
      <c r="G53" s="110">
        <v>43616</v>
      </c>
      <c r="H53" s="110">
        <v>43616</v>
      </c>
      <c r="I53" s="199" t="s">
        <v>319</v>
      </c>
      <c r="J53" s="199" t="s">
        <v>319</v>
      </c>
      <c r="K53" s="17"/>
      <c r="L53" s="17"/>
    </row>
    <row r="54" spans="1:12" ht="31.5" x14ac:dyDescent="0.25">
      <c r="A54" s="20" t="s">
        <v>212</v>
      </c>
      <c r="B54" s="112" t="s">
        <v>98</v>
      </c>
      <c r="C54" s="111" t="s">
        <v>253</v>
      </c>
      <c r="D54" s="111" t="s">
        <v>253</v>
      </c>
      <c r="E54" s="17"/>
      <c r="F54" s="17"/>
      <c r="G54" s="111" t="s">
        <v>253</v>
      </c>
      <c r="H54" s="111" t="s">
        <v>253</v>
      </c>
      <c r="I54" s="199" t="s">
        <v>319</v>
      </c>
      <c r="J54" s="199" t="s">
        <v>319</v>
      </c>
      <c r="K54" s="17"/>
      <c r="L54" s="17"/>
    </row>
  </sheetData>
  <mergeCells count="21">
    <mergeCell ref="A11:L11"/>
    <mergeCell ref="I21:I23"/>
    <mergeCell ref="A13:L13"/>
    <mergeCell ref="K21:K23"/>
    <mergeCell ref="A5:L5"/>
    <mergeCell ref="A7:L7"/>
    <mergeCell ref="A9:L9"/>
    <mergeCell ref="A10:L10"/>
    <mergeCell ref="A12:L12"/>
    <mergeCell ref="A15:L15"/>
    <mergeCell ref="A8:L8"/>
    <mergeCell ref="L21:L23"/>
    <mergeCell ref="A14:L14"/>
    <mergeCell ref="A16:L16"/>
    <mergeCell ref="G22:H22"/>
    <mergeCell ref="C22:D22"/>
    <mergeCell ref="J21:J23"/>
    <mergeCell ref="A19:L19"/>
    <mergeCell ref="C21:H21"/>
    <mergeCell ref="B21:B23"/>
    <mergeCell ref="A21:A2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2016-04-02T07:15:21Z</cp:lastPrinted>
  <dcterms:created xsi:type="dcterms:W3CDTF">2015-08-16T15:31:05Z</dcterms:created>
  <dcterms:modified xsi:type="dcterms:W3CDTF">2019-11-10T09:14:48Z</dcterms:modified>
</cp:coreProperties>
</file>