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80" yWindow="30" windowWidth="14220" windowHeight="12360" tabRatio="887" firstSheet="3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9" r:id="rId4"/>
    <sheet name="3.3 паспорт описание" sheetId="6" r:id="rId5"/>
    <sheet name="3.4. Паспорт надежность" sheetId="26" r:id="rId6"/>
    <sheet name="4.паспорт бюджет" sheetId="27" r:id="rId7"/>
    <sheet name=" 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7">' 5 анализ эконом эфф'!$A$1:$F$27</definedName>
    <definedName name="_xlnm.Print_Area" localSheetId="0">'1. паспорт местоположение'!$A$1:$C$49</definedName>
    <definedName name="_xlnm.Print_Area" localSheetId="1">'2. паспорт  ТП'!$A$1:$S$22</definedName>
    <definedName name="_xlnm.Print_Area" localSheetId="2">'3.1. паспорт Техсостояние ПС'!$A$1:$T$26</definedName>
    <definedName name="_xlnm.Print_Area" localSheetId="3">'3.2 паспорт Техсостояние ЛЭП'!$A$1:$AA$25</definedName>
    <definedName name="_xlnm.Print_Area" localSheetId="4">'3.3 паспорт описание'!$A$1:$C$30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ввод'!$A$1:$G$64</definedName>
  </definedNames>
  <calcPr calcId="145621"/>
</workbook>
</file>

<file path=xl/calcChain.xml><?xml version="1.0" encoding="utf-8"?>
<calcChain xmlns="http://schemas.openxmlformats.org/spreadsheetml/2006/main">
  <c r="B27" i="22" l="1"/>
  <c r="B26" i="22"/>
  <c r="B25" i="22"/>
  <c r="K64" i="15"/>
  <c r="J64" i="15"/>
  <c r="I64" i="15"/>
  <c r="H64" i="15"/>
  <c r="G64" i="15"/>
  <c r="E64" i="15" s="1"/>
  <c r="F64" i="15"/>
  <c r="C64" i="15"/>
  <c r="K63" i="15"/>
  <c r="J63" i="15"/>
  <c r="F63" i="15" s="1"/>
  <c r="I63" i="15"/>
  <c r="H63" i="15"/>
  <c r="G63" i="15"/>
  <c r="C63" i="15"/>
  <c r="K62" i="15"/>
  <c r="J62" i="15"/>
  <c r="I62" i="15"/>
  <c r="H62" i="15"/>
  <c r="G62" i="15"/>
  <c r="F62" i="15"/>
  <c r="C62" i="15"/>
  <c r="K61" i="15"/>
  <c r="J61" i="15"/>
  <c r="I61" i="15"/>
  <c r="H61" i="15"/>
  <c r="G61" i="15"/>
  <c r="E61" i="15" s="1"/>
  <c r="F61" i="15"/>
  <c r="C61" i="15"/>
  <c r="K60" i="15"/>
  <c r="J60" i="15"/>
  <c r="I60" i="15"/>
  <c r="H60" i="15"/>
  <c r="G60" i="15"/>
  <c r="F60" i="15"/>
  <c r="C60" i="15"/>
  <c r="F59" i="15"/>
  <c r="F58" i="15"/>
  <c r="K57" i="15"/>
  <c r="J57" i="15"/>
  <c r="F57" i="15" s="1"/>
  <c r="I57" i="15"/>
  <c r="H57" i="15"/>
  <c r="G57" i="15"/>
  <c r="C57" i="15"/>
  <c r="K56" i="15"/>
  <c r="J56" i="15"/>
  <c r="F56" i="15" s="1"/>
  <c r="I56" i="15"/>
  <c r="H56" i="15"/>
  <c r="G56" i="15"/>
  <c r="C56" i="15"/>
  <c r="K55" i="15"/>
  <c r="J55" i="15"/>
  <c r="F55" i="15" s="1"/>
  <c r="I55" i="15"/>
  <c r="H55" i="15"/>
  <c r="G55" i="15"/>
  <c r="C55" i="15"/>
  <c r="K54" i="15"/>
  <c r="J54" i="15"/>
  <c r="F54" i="15" s="1"/>
  <c r="I54" i="15"/>
  <c r="H54" i="15"/>
  <c r="G54" i="15"/>
  <c r="C54" i="15"/>
  <c r="K53" i="15"/>
  <c r="J53" i="15"/>
  <c r="F53" i="15" s="1"/>
  <c r="I53" i="15"/>
  <c r="H53" i="15"/>
  <c r="G53" i="15"/>
  <c r="C53" i="15"/>
  <c r="K52" i="15"/>
  <c r="J52" i="15"/>
  <c r="F52" i="15" s="1"/>
  <c r="I52" i="15"/>
  <c r="H52" i="15"/>
  <c r="G52" i="15"/>
  <c r="C52" i="15"/>
  <c r="F51" i="15"/>
  <c r="K50" i="15"/>
  <c r="J50" i="15"/>
  <c r="F50" i="15" s="1"/>
  <c r="I50" i="15"/>
  <c r="H50" i="15"/>
  <c r="G50" i="15"/>
  <c r="C50" i="15"/>
  <c r="K49" i="15"/>
  <c r="J49" i="15"/>
  <c r="I49" i="15"/>
  <c r="H49" i="15"/>
  <c r="G49" i="15"/>
  <c r="F49" i="15"/>
  <c r="C49" i="15"/>
  <c r="K48" i="15"/>
  <c r="J48" i="15"/>
  <c r="I48" i="15"/>
  <c r="H48" i="15"/>
  <c r="G48" i="15"/>
  <c r="F48" i="15"/>
  <c r="C48" i="15"/>
  <c r="K47" i="15"/>
  <c r="J47" i="15"/>
  <c r="F47" i="15" s="1"/>
  <c r="I47" i="15"/>
  <c r="H47" i="15"/>
  <c r="G47" i="15"/>
  <c r="C47" i="15"/>
  <c r="K46" i="15"/>
  <c r="J46" i="15"/>
  <c r="F46" i="15" s="1"/>
  <c r="I46" i="15"/>
  <c r="H46" i="15"/>
  <c r="G46" i="15"/>
  <c r="C46" i="15"/>
  <c r="K45" i="15"/>
  <c r="J45" i="15"/>
  <c r="I45" i="15"/>
  <c r="H45" i="15"/>
  <c r="G45" i="15"/>
  <c r="F45" i="15"/>
  <c r="C45" i="15"/>
  <c r="K44" i="15"/>
  <c r="J44" i="15"/>
  <c r="F44" i="15" s="1"/>
  <c r="I44" i="15"/>
  <c r="H44" i="15"/>
  <c r="G44" i="15"/>
  <c r="C44" i="15"/>
  <c r="F43" i="15"/>
  <c r="K42" i="15"/>
  <c r="J42" i="15"/>
  <c r="F42" i="15" s="1"/>
  <c r="E42" i="15" s="1"/>
  <c r="I42" i="15"/>
  <c r="H42" i="15"/>
  <c r="G42" i="15"/>
  <c r="C42" i="15"/>
  <c r="K41" i="15"/>
  <c r="J41" i="15"/>
  <c r="F41" i="15" s="1"/>
  <c r="E41" i="15" s="1"/>
  <c r="I41" i="15"/>
  <c r="H41" i="15"/>
  <c r="G41" i="15"/>
  <c r="C41" i="15"/>
  <c r="K40" i="15"/>
  <c r="J40" i="15"/>
  <c r="F40" i="15" s="1"/>
  <c r="E40" i="15" s="1"/>
  <c r="I40" i="15"/>
  <c r="H40" i="15"/>
  <c r="G40" i="15"/>
  <c r="C40" i="15"/>
  <c r="K39" i="15"/>
  <c r="J39" i="15"/>
  <c r="F39" i="15" s="1"/>
  <c r="E39" i="15" s="1"/>
  <c r="I39" i="15"/>
  <c r="H39" i="15"/>
  <c r="G39" i="15"/>
  <c r="C39" i="15"/>
  <c r="K38" i="15"/>
  <c r="J38" i="15"/>
  <c r="F38" i="15" s="1"/>
  <c r="E38" i="15" s="1"/>
  <c r="I38" i="15"/>
  <c r="H38" i="15"/>
  <c r="G38" i="15"/>
  <c r="C38" i="15"/>
  <c r="K37" i="15"/>
  <c r="J37" i="15"/>
  <c r="F37" i="15" s="1"/>
  <c r="E37" i="15" s="1"/>
  <c r="I37" i="15"/>
  <c r="H37" i="15"/>
  <c r="G37" i="15"/>
  <c r="C37" i="15"/>
  <c r="K36" i="15"/>
  <c r="J36" i="15"/>
  <c r="F36" i="15" s="1"/>
  <c r="E36" i="15" s="1"/>
  <c r="I36" i="15"/>
  <c r="H36" i="15"/>
  <c r="G36" i="15"/>
  <c r="C36" i="15"/>
  <c r="F35" i="15"/>
  <c r="J34" i="15"/>
  <c r="F34" i="15" s="1"/>
  <c r="E34" i="15" s="1"/>
  <c r="G34" i="15"/>
  <c r="C34" i="15"/>
  <c r="D34" i="15" s="1"/>
  <c r="I34" i="15" s="1"/>
  <c r="J33" i="15"/>
  <c r="K33" i="15" s="1"/>
  <c r="G33" i="15"/>
  <c r="C33" i="15"/>
  <c r="H33" i="15" s="1"/>
  <c r="J32" i="15"/>
  <c r="F32" i="15" s="1"/>
  <c r="G32" i="15"/>
  <c r="C32" i="15"/>
  <c r="H32" i="15" s="1"/>
  <c r="J31" i="15"/>
  <c r="F31" i="15" s="1"/>
  <c r="G31" i="15"/>
  <c r="C31" i="15"/>
  <c r="H31" i="15" s="1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E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C25" i="15" s="1"/>
  <c r="G25" i="15"/>
  <c r="K24" i="15"/>
  <c r="J24" i="15"/>
  <c r="I24" i="15"/>
  <c r="H24" i="15"/>
  <c r="G24" i="15"/>
  <c r="F24" i="15"/>
  <c r="E24" i="15"/>
  <c r="D24" i="15"/>
  <c r="C24" i="15"/>
  <c r="C27" i="15" s="1"/>
  <c r="C30" i="6"/>
  <c r="C29" i="6"/>
  <c r="C28" i="6"/>
  <c r="A15" i="7"/>
  <c r="A14" i="15" s="1"/>
  <c r="C28" i="15" l="1"/>
  <c r="E31" i="15"/>
  <c r="E60" i="15"/>
  <c r="C26" i="15"/>
  <c r="E47" i="15"/>
  <c r="E63" i="15"/>
  <c r="D25" i="15"/>
  <c r="D29" i="15"/>
  <c r="K31" i="15"/>
  <c r="E53" i="15"/>
  <c r="E55" i="15"/>
  <c r="E57" i="15"/>
  <c r="E62" i="15"/>
  <c r="E32" i="15"/>
  <c r="H34" i="15"/>
  <c r="D27" i="15"/>
  <c r="F26" i="15"/>
  <c r="E26" i="15" s="1"/>
  <c r="K32" i="15"/>
  <c r="E46" i="15"/>
  <c r="E50" i="15"/>
  <c r="D26" i="15"/>
  <c r="D28" i="15"/>
  <c r="C29" i="15"/>
  <c r="D31" i="15"/>
  <c r="I31" i="15" s="1"/>
  <c r="E45" i="15"/>
  <c r="E49" i="15"/>
  <c r="F25" i="15"/>
  <c r="E25" i="15" s="1"/>
  <c r="E29" i="15"/>
  <c r="E44" i="15"/>
  <c r="E48" i="15"/>
  <c r="E52" i="15"/>
  <c r="E54" i="15"/>
  <c r="E56" i="15"/>
  <c r="D33" i="15"/>
  <c r="I33" i="15" s="1"/>
  <c r="K34" i="15"/>
  <c r="F33" i="15"/>
  <c r="E33" i="15" s="1"/>
  <c r="I25" i="15"/>
  <c r="D32" i="15"/>
  <c r="I32" i="15" s="1"/>
  <c r="A15" i="6"/>
  <c r="C24" i="13"/>
  <c r="B23" i="22"/>
  <c r="A15" i="23"/>
  <c r="A15" i="22"/>
  <c r="B21" i="22" s="1"/>
  <c r="A12" i="22"/>
  <c r="A15" i="28"/>
  <c r="A12" i="28"/>
  <c r="A11" i="15"/>
  <c r="A15" i="16"/>
  <c r="A12" i="16"/>
  <c r="A12" i="23"/>
  <c r="A16" i="27"/>
  <c r="A13" i="27"/>
  <c r="A14" i="26"/>
  <c r="A11" i="26"/>
  <c r="A12" i="6"/>
  <c r="A15" i="29"/>
  <c r="A12" i="29"/>
  <c r="A15" i="13"/>
  <c r="A12" i="13"/>
  <c r="A14" i="24"/>
  <c r="A11" i="24"/>
  <c r="A5" i="22"/>
  <c r="A5" i="28"/>
  <c r="A4" i="15"/>
  <c r="A5" i="16"/>
  <c r="A5" i="23"/>
  <c r="A6" i="27"/>
  <c r="A4" i="26"/>
  <c r="A5" i="6"/>
  <c r="A5" i="29"/>
  <c r="A5" i="13"/>
  <c r="A4" i="24"/>
  <c r="F25" i="28"/>
  <c r="G25" i="28" s="1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F27" i="15" l="1"/>
  <c r="E27" i="15" s="1"/>
  <c r="B55" i="22"/>
  <c r="C49" i="7"/>
  <c r="C48" i="7"/>
  <c r="B53" i="22"/>
</calcChain>
</file>

<file path=xl/sharedStrings.xml><?xml version="1.0" encoding="utf-8"?>
<sst xmlns="http://schemas.openxmlformats.org/spreadsheetml/2006/main" count="1125" uniqueCount="484">
  <si>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</si>
  <si>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</si>
  <si>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</si>
  <si>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</si>
  <si>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</si>
  <si>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</si>
  <si>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</si>
  <si>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</si>
  <si>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</si>
  <si>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</si>
  <si>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</si>
  <si>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</si>
  <si>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</si>
  <si>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</si>
  <si>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</si>
  <si>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</si>
  <si>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</si>
  <si>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</si>
  <si>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</si>
  <si>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</si>
  <si>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</si>
  <si>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</si>
  <si>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</si>
  <si>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</si>
  <si>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</si>
  <si>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</si>
  <si>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</si>
  <si>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</si>
  <si>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</si>
  <si>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</si>
  <si>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</si>
  <si>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</si>
  <si>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</si>
  <si>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</si>
  <si>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</si>
  <si>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</si>
  <si>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</si>
  <si>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</si>
  <si>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</si>
  <si>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</si>
  <si>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</si>
  <si>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</si>
  <si>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</si>
  <si>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</si>
  <si>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</si>
  <si>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</si>
  <si>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</si>
  <si>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</si>
  <si>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</si>
  <si>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</si>
  <si>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</si>
  <si>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</si>
  <si>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</si>
  <si>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</si>
  <si>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</si>
  <si>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</si>
  <si>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</si>
  <si>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</si>
  <si>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</si>
  <si>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</si>
  <si>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</si>
  <si>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</si>
  <si>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</si>
  <si>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</si>
  <si>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</si>
  <si>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</si>
  <si>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</si>
  <si>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</si>
  <si>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</si>
  <si>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</si>
  <si>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</si>
  <si>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</si>
  <si>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</si>
  <si>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</si>
  <si>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</si>
  <si>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</si>
  <si>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</si>
  <si>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</si>
  <si>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</si>
  <si>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</si>
  <si>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</si>
  <si>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</si>
  <si>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</si>
  <si>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</si>
  <si>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</si>
  <si>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</si>
  <si>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</si>
  <si>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</si>
  <si>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</si>
  <si>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</si>
  <si>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</si>
  <si>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</si>
  <si>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</si>
  <si>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</si>
  <si>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</si>
  <si>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</si>
  <si>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</si>
  <si>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</si>
  <si>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</si>
  <si>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</si>
  <si>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</si>
  <si>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</si>
  <si>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</si>
  <si>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</si>
  <si>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</si>
  <si>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</si>
  <si>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</si>
  <si>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</si>
  <si>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</si>
  <si>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</si>
  <si>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</si>
  <si>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</si>
  <si>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</si>
  <si>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</si>
  <si>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</si>
  <si>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</si>
  <si>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</si>
  <si>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</si>
  <si>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</si>
  <si>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</si>
  <si>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</si>
  <si>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</si>
  <si>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</si>
  <si>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</si>
  <si>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</si>
  <si>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</si>
  <si>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</si>
  <si>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</si>
  <si>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</si>
  <si>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</si>
  <si>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</si>
  <si>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</si>
  <si>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</si>
  <si>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</si>
  <si>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</si>
  <si>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</si>
  <si>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</si>
  <si>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</si>
  <si>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</si>
  <si>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</si>
  <si>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</si>
  <si>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</si>
  <si>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</si>
  <si>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</si>
  <si>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</si>
  <si>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</si>
  <si>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</si>
  <si>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</si>
  <si>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</si>
  <si>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</si>
  <si>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</si>
  <si>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</si>
  <si>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</si>
  <si>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</si>
  <si>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</si>
  <si>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</si>
  <si>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</si>
  <si>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</si>
  <si>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</si>
  <si>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</si>
  <si>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</si>
  <si>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</si>
  <si>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</si>
  <si>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</si>
  <si>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</si>
  <si>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</si>
  <si>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</si>
  <si>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</si>
  <si>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</si>
  <si>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</si>
  <si>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</si>
  <si>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</si>
  <si>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</si>
  <si>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</si>
  <si>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</si>
  <si>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</si>
  <si>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</si>
  <si>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</si>
  <si>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</si>
  <si>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</si>
  <si>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</si>
  <si>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</si>
  <si>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</si>
  <si>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</si>
  <si>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</si>
  <si>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</si>
  <si>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</si>
  <si>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</si>
  <si>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</si>
  <si>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</si>
  <si>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</si>
  <si>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</si>
  <si>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</si>
  <si>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</si>
  <si>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</si>
  <si>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</si>
  <si>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</si>
  <si>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</si>
  <si>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</si>
  <si>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</si>
  <si>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</si>
  <si>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</si>
  <si>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</si>
  <si>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</si>
  <si>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</si>
  <si>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</si>
  <si>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</si>
  <si>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</si>
  <si>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</si>
  <si>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</si>
  <si>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</si>
  <si>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</si>
  <si>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</si>
  <si>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</si>
  <si>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</si>
  <si>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</si>
  <si>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</si>
  <si>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</si>
  <si>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</si>
  <si>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</si>
  <si>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</si>
  <si>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</si>
  <si>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</si>
  <si>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</si>
  <si>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</si>
  <si>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</si>
  <si>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</si>
  <si>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</si>
  <si>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</si>
  <si>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</si>
  <si>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</si>
  <si>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</si>
  <si>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</si>
  <si>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</si>
  <si>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</si>
  <si>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</si>
  <si>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</si>
  <si>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</si>
  <si>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</si>
  <si>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</si>
  <si>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</si>
  <si>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</si>
  <si>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</si>
  <si>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</si>
  <si>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</si>
  <si>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</si>
  <si>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</si>
  <si>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</si>
  <si>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</si>
  <si>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Раздел 5. Показатели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</si>
  <si>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</si>
  <si>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</si>
  <si>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</si>
  <si>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</si>
  <si>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</si>
  <si>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</si>
  <si>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</si>
  <si>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</si>
  <si>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</si>
  <si>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</si>
  <si>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</si>
  <si>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</si>
  <si>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</si>
  <si>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</si>
  <si>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 xml:space="preserve">    АО "Чеченэнерго  </t>
  </si>
  <si>
    <t>АО "Чеченэнерго"</t>
  </si>
  <si>
    <t>Чеченская Республика</t>
  </si>
  <si>
    <t>не требуется</t>
  </si>
  <si>
    <t>нет</t>
  </si>
  <si>
    <t>не требуются</t>
  </si>
  <si>
    <t>Сметная стоимость проекта в ценах __2017___ года с НДС, млн. руб.</t>
  </si>
  <si>
    <t>АО  "Чеченэнерго"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</si>
  <si>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</si>
  <si>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</si>
  <si>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</si>
  <si>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</si>
  <si>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</si>
  <si>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</si>
  <si>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</si>
  <si>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Неокупаем</t>
  </si>
  <si>
    <t>21</t>
  </si>
  <si>
    <t>22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</si>
  <si>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</si>
  <si>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 предусмотрено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</si>
  <si>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</si>
  <si>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в СиПР не предусмотрен"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</si>
  <si>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</si>
  <si>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не планируется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</si>
  <si>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</si>
  <si>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</si>
  <si>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</si>
  <si>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20</t>
  </si>
  <si>
    <t>23</t>
  </si>
  <si>
    <t>24</t>
  </si>
  <si>
    <t>25</t>
  </si>
  <si>
    <t>разделение на этапы не предусмотрено проектом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</si>
  <si>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</si>
  <si>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</si>
  <si>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</si>
  <si>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</si>
  <si>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</si>
  <si>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</si>
  <si>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</si>
  <si>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</si>
  <si>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</si>
  <si>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</si>
  <si>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</si>
  <si>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</si>
  <si>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</si>
  <si>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</si>
  <si>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</si>
  <si>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</si>
  <si>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</si>
  <si>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</si>
  <si>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</si>
  <si>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</si>
  <si>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</si>
  <si>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</si>
  <si>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</si>
  <si>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</si>
  <si>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</si>
  <si>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</si>
  <si>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</si>
  <si>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</si>
  <si>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</si>
  <si>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</si>
  <si>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</si>
  <si>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</si>
  <si>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</si>
  <si>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</si>
  <si>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</si>
  <si>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</si>
  <si>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</si>
  <si>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</si>
  <si>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</si>
  <si>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</si>
  <si>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</si>
  <si>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</si>
  <si>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</si>
  <si>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</si>
  <si>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</si>
  <si>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</si>
  <si>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</si>
  <si>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</si>
  <si>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</si>
  <si>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</si>
  <si>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Год 2016</t>
  </si>
  <si>
    <t>Описание</t>
  </si>
  <si>
    <t>год 2015</t>
  </si>
  <si>
    <t>Наименование 1</t>
  </si>
  <si>
    <t>Реквизиты акта 1</t>
  </si>
  <si>
    <t>Год 2017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</si>
  <si>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</si>
  <si>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</si>
  <si>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</si>
  <si>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</si>
  <si>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</si>
  <si>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</si>
  <si>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</si>
  <si>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</si>
  <si>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</si>
  <si>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</si>
  <si>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</si>
  <si>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</si>
  <si>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</si>
  <si>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</si>
  <si>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</si>
  <si>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</si>
  <si>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</si>
  <si>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</si>
  <si>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</si>
  <si>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</si>
  <si>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</si>
  <si>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</si>
  <si>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</si>
  <si>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</si>
  <si>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</si>
  <si>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</si>
  <si>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</si>
  <si>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</si>
  <si>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</si>
  <si>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</si>
  <si>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</si>
  <si>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</si>
  <si>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</si>
  <si>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</si>
  <si>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</si>
  <si>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</si>
  <si>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</si>
  <si>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</si>
  <si>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</si>
  <si>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</si>
  <si>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</si>
  <si>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</si>
  <si>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</si>
  <si>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</si>
  <si>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</si>
  <si>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</si>
  <si>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</si>
  <si>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</si>
  <si>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</si>
  <si>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</si>
  <si>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</si>
  <si>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</si>
  <si>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</si>
  <si>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</si>
  <si>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</si>
  <si>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</si>
  <si>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</si>
  <si>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</si>
  <si>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</si>
  <si>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</si>
  <si>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</si>
  <si>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</si>
  <si>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</si>
  <si>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</si>
  <si>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</si>
  <si>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</si>
  <si>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</si>
  <si>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</si>
  <si>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</si>
  <si>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</si>
  <si>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</si>
  <si>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</si>
  <si>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</si>
  <si>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</si>
  <si>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</si>
  <si>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</si>
  <si>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</si>
  <si>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</si>
  <si>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</si>
  <si>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</si>
  <si>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</si>
  <si>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</si>
  <si>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</si>
  <si>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</si>
  <si>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</si>
  <si>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</si>
  <si>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</si>
  <si>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</si>
  <si>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</si>
  <si>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</si>
  <si>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</si>
  <si>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</si>
  <si>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</si>
  <si>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</si>
  <si>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</si>
  <si>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</si>
  <si>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</si>
  <si>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</si>
  <si>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</si>
  <si>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Цели</t>
  </si>
  <si>
    <t xml:space="preserve">Факт </t>
  </si>
  <si>
    <t>2018</t>
  </si>
  <si>
    <t>не проводилось</t>
  </si>
  <si>
    <t xml:space="preserve">Повышение надежности оказываемых услуг в сфере электроэнергетики </t>
  </si>
  <si>
    <t xml:space="preserve">Увеличение объемов реализации электроэнергии за счет повышения надежности электроснабжения. </t>
  </si>
  <si>
    <t>не применимо</t>
  </si>
  <si>
    <t>Освоение  капитальных вложений</t>
  </si>
  <si>
    <t>-</t>
  </si>
  <si>
    <t>Модернизация, техническое перевооружение трансформаторных и иных подстанций, распределительных пунктов</t>
  </si>
  <si>
    <t>I_Che223_18</t>
  </si>
  <si>
    <t>Модернизация ПС 110/35 кВ Гудермес-Тяговая с установкой шкафа промежуточных зажимов ШЗВ-200 и шкафа обогрева ШОВ-4</t>
  </si>
  <si>
    <t>Гудермесский  район</t>
  </si>
  <si>
    <t>ПС 110/35 кВ Гудермес-Тяговая</t>
  </si>
  <si>
    <t>шкафа промежуточных зажимов , шкаф обогрева</t>
  </si>
  <si>
    <t>ШЭВ-200                                                   ШОВ-4</t>
  </si>
  <si>
    <t xml:space="preserve">Надёжное электроснабжение потребителей Гудермесского  района ЧР. </t>
  </si>
  <si>
    <t>Установка шкафа промежуточных зажимов ШЗВ-200 и шкафа обогрева ШОВ-4 вызвано необходимостью повышения надежной работы оборудования ПС 35/10 кВ Наурская</t>
  </si>
  <si>
    <t>Чеченская Республика Гудермесский  район</t>
  </si>
  <si>
    <t>2019 год</t>
  </si>
  <si>
    <t>шт.</t>
  </si>
  <si>
    <t>Год раскрытия информации: 2019 год</t>
  </si>
  <si>
    <t xml:space="preserve">Факт 2018 года </t>
  </si>
  <si>
    <t xml:space="preserve"> по состоянию на 01.01.2018</t>
  </si>
  <si>
    <t>по состоянию на 01.01.2019</t>
  </si>
  <si>
    <t>модернизация</t>
  </si>
  <si>
    <t>09.2019г.</t>
  </si>
  <si>
    <t>Шкаф обогрева ШОВ-4                     Шкаф промежуточных зажимов ШЗВ-200</t>
  </si>
  <si>
    <t>Протокол ЦЗО</t>
  </si>
  <si>
    <t>ЦЗО, комиссия</t>
  </si>
  <si>
    <t>25.05.2016г.</t>
  </si>
  <si>
    <t>№ 167/2016</t>
  </si>
  <si>
    <t>ООО "Альбис"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</si>
</sst>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#####0.0#####"/>
    <numFmt numFmtId="168" formatCode="0.0"/>
    <numFmt numFmtId="169" formatCode="#,##0;[Red]#,##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7" fillId="0" borderId="0"/>
    <xf numFmtId="0" fontId="10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6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27">
    <xf numFmtId="0" fontId="0" fillId="0" borderId="0" xfId="0"/>
    <xf numFmtId="0" fontId="68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2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68" fillId="0" borderId="0" xfId="57" applyBorder="1"/>
    <xf numFmtId="49" fontId="6" fillId="0" borderId="10" xfId="57" applyNumberFormat="1" applyFont="1" applyFill="1" applyBorder="1" applyAlignment="1">
      <alignment vertical="center"/>
    </xf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2" applyFont="1" applyFill="1" applyBorder="1" applyAlignment="1">
      <alignment vertical="center" wrapText="1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2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2" applyFont="1" applyFill="1" applyAlignment="1">
      <alignment horizontal="right"/>
    </xf>
    <xf numFmtId="0" fontId="10" fillId="0" borderId="10" xfId="42" applyFont="1" applyFill="1" applyBorder="1" applyAlignment="1">
      <alignment horizontal="left" vertical="center" wrapText="1"/>
    </xf>
    <xf numFmtId="0" fontId="10" fillId="0" borderId="0" xfId="40" applyFont="1" applyAlignment="1">
      <alignment horizontal="left"/>
    </xf>
    <xf numFmtId="0" fontId="10" fillId="0" borderId="0" xfId="42" applyFont="1"/>
    <xf numFmtId="0" fontId="10" fillId="0" borderId="0" xfId="42" applyFont="1" applyFill="1"/>
    <xf numFmtId="0" fontId="10" fillId="0" borderId="0" xfId="42" applyFont="1" applyFill="1" applyBorder="1" applyAlignment="1"/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Border="1"/>
    <xf numFmtId="0" fontId="10" fillId="0" borderId="0" xfId="42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42" fillId="0" borderId="10" xfId="48" applyFont="1" applyFill="1" applyBorder="1" applyAlignment="1">
      <alignment horizontal="left" vertical="center" wrapText="1"/>
    </xf>
    <xf numFmtId="49" fontId="10" fillId="0" borderId="10" xfId="42" applyNumberFormat="1" applyFont="1" applyFill="1" applyBorder="1" applyAlignment="1">
      <alignment horizontal="center" vertical="center" wrapText="1"/>
    </xf>
    <xf numFmtId="0" fontId="42" fillId="0" borderId="12" xfId="4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left" vertical="center" wrapText="1"/>
    </xf>
    <xf numFmtId="49" fontId="37" fillId="0" borderId="10" xfId="42" applyNumberFormat="1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textRotation="90" wrapText="1"/>
    </xf>
    <xf numFmtId="0" fontId="44" fillId="0" borderId="0" xfId="42" applyFont="1" applyFill="1" applyAlignment="1"/>
    <xf numFmtId="0" fontId="10" fillId="0" borderId="10" xfId="42" applyFont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top" wrapText="1"/>
    </xf>
    <xf numFmtId="0" fontId="10" fillId="0" borderId="0" xfId="42" applyFont="1" applyBorder="1" applyAlignment="1"/>
    <xf numFmtId="0" fontId="10" fillId="0" borderId="0" xfId="42" applyFont="1" applyAlignment="1">
      <alignment horizontal="right"/>
    </xf>
    <xf numFmtId="0" fontId="38" fillId="0" borderId="10" xfId="48" applyFont="1" applyFill="1" applyBorder="1" applyAlignment="1">
      <alignment horizontal="left" vertical="center" wrapText="1"/>
    </xf>
    <xf numFmtId="0" fontId="35" fillId="0" borderId="0" xfId="42" applyFont="1" applyFill="1"/>
    <xf numFmtId="0" fontId="10" fillId="0" borderId="0" xfId="42" applyFill="1"/>
    <xf numFmtId="2" fontId="45" fillId="0" borderId="0" xfId="42" applyNumberFormat="1" applyFont="1" applyFill="1" applyAlignment="1">
      <alignment horizontal="right" vertical="top" wrapText="1"/>
    </xf>
    <xf numFmtId="0" fontId="35" fillId="0" borderId="0" xfId="42" applyFont="1" applyFill="1" applyAlignment="1">
      <alignment horizontal="right"/>
    </xf>
    <xf numFmtId="1" fontId="36" fillId="0" borderId="0" xfId="42" applyNumberFormat="1" applyFont="1" applyFill="1" applyAlignment="1">
      <alignment horizontal="left" vertical="top"/>
    </xf>
    <xf numFmtId="49" fontId="35" fillId="0" borderId="0" xfId="42" applyNumberFormat="1" applyFont="1" applyFill="1" applyAlignment="1">
      <alignment horizontal="left" vertical="top" wrapText="1"/>
    </xf>
    <xf numFmtId="49" fontId="35" fillId="0" borderId="0" xfId="42" applyNumberFormat="1" applyFont="1" applyFill="1" applyBorder="1" applyAlignment="1">
      <alignment horizontal="left" vertical="top"/>
    </xf>
    <xf numFmtId="0" fontId="35" fillId="0" borderId="0" xfId="42" applyFont="1" applyFill="1" applyBorder="1" applyAlignment="1">
      <alignment horizontal="center" vertical="center"/>
    </xf>
    <xf numFmtId="0" fontId="44" fillId="0" borderId="0" xfId="42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66" fillId="24" borderId="0" xfId="58" applyFill="1"/>
    <xf numFmtId="0" fontId="10" fillId="25" borderId="10" xfId="42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top" wrapText="1"/>
    </xf>
    <xf numFmtId="49" fontId="6" fillId="0" borderId="10" xfId="57" applyNumberFormat="1" applyFont="1" applyFill="1" applyBorder="1" applyAlignment="1">
      <alignment vertical="center" wrapText="1"/>
    </xf>
    <xf numFmtId="2" fontId="10" fillId="25" borderId="10" xfId="42" applyNumberFormat="1" applyFont="1" applyFill="1" applyBorder="1" applyAlignment="1">
      <alignment horizontal="left" vertical="center" wrapText="1"/>
    </xf>
    <xf numFmtId="0" fontId="68" fillId="0" borderId="0" xfId="57" applyBorder="1" applyAlignment="1">
      <alignment vertical="center" wrapText="1"/>
    </xf>
    <xf numFmtId="0" fontId="68" fillId="0" borderId="0" xfId="57" applyAlignment="1">
      <alignment vertical="center" wrapText="1"/>
    </xf>
    <xf numFmtId="2" fontId="10" fillId="0" borderId="10" xfId="42" applyNumberFormat="1" applyFont="1" applyFill="1" applyBorder="1" applyAlignment="1">
      <alignment horizontal="center" vertical="center" wrapText="1"/>
    </xf>
    <xf numFmtId="0" fontId="10" fillId="25" borderId="0" xfId="40" applyFont="1" applyFill="1" applyAlignment="1">
      <alignment horizontal="left"/>
    </xf>
    <xf numFmtId="0" fontId="11" fillId="25" borderId="0" xfId="42" applyFont="1" applyFill="1" applyAlignment="1">
      <alignment horizontal="right" vertical="center"/>
    </xf>
    <xf numFmtId="0" fontId="14" fillId="25" borderId="0" xfId="57" applyFont="1" applyFill="1"/>
    <xf numFmtId="0" fontId="9" fillId="25" borderId="0" xfId="57" applyFont="1" applyFill="1"/>
    <xf numFmtId="0" fontId="11" fillId="25" borderId="0" xfId="42" applyFont="1" applyFill="1" applyAlignment="1">
      <alignment horizontal="right"/>
    </xf>
    <xf numFmtId="0" fontId="12" fillId="25" borderId="0" xfId="57" applyFont="1" applyFill="1" applyAlignment="1">
      <alignment horizontal="left" vertical="center"/>
    </xf>
    <xf numFmtId="0" fontId="9" fillId="25" borderId="0" xfId="57" applyFont="1" applyFill="1" applyBorder="1"/>
    <xf numFmtId="0" fontId="5" fillId="25" borderId="0" xfId="57" applyFont="1" applyFill="1"/>
    <xf numFmtId="0" fontId="10" fillId="25" borderId="0" xfId="40" applyFont="1" applyFill="1" applyAlignment="1">
      <alignment horizontal="left" vertical="center"/>
    </xf>
    <xf numFmtId="0" fontId="37" fillId="25" borderId="12" xfId="40" applyFont="1" applyFill="1" applyBorder="1" applyAlignment="1">
      <alignment horizontal="center" vertical="center" wrapText="1"/>
    </xf>
    <xf numFmtId="0" fontId="37" fillId="25" borderId="10" xfId="40" applyFont="1" applyFill="1" applyBorder="1" applyAlignment="1">
      <alignment horizontal="center" vertical="center" wrapText="1"/>
    </xf>
    <xf numFmtId="0" fontId="10" fillId="25" borderId="10" xfId="40" applyFont="1" applyFill="1" applyBorder="1" applyAlignment="1">
      <alignment horizontal="center" vertical="top"/>
    </xf>
    <xf numFmtId="0" fontId="10" fillId="25" borderId="10" xfId="40" applyFont="1" applyFill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wrapText="1"/>
    </xf>
    <xf numFmtId="0" fontId="40" fillId="25" borderId="10" xfId="42" applyFont="1" applyFill="1" applyBorder="1" applyAlignment="1">
      <alignment horizontal="center" vertical="center" wrapText="1"/>
    </xf>
    <xf numFmtId="49" fontId="10" fillId="25" borderId="10" xfId="40" applyNumberFormat="1" applyFont="1" applyFill="1" applyBorder="1" applyAlignment="1">
      <alignment horizontal="center" vertical="center"/>
    </xf>
    <xf numFmtId="0" fontId="40" fillId="25" borderId="0" xfId="40" applyFont="1" applyFill="1" applyAlignment="1">
      <alignment horizontal="left"/>
    </xf>
    <xf numFmtId="0" fontId="41" fillId="25" borderId="0" xfId="40" applyFont="1" applyFill="1" applyAlignment="1">
      <alignment horizontal="left"/>
    </xf>
    <xf numFmtId="0" fontId="14" fillId="0" borderId="0" xfId="57" applyFont="1" applyFill="1"/>
    <xf numFmtId="0" fontId="50" fillId="0" borderId="0" xfId="57" applyFont="1" applyFill="1"/>
    <xf numFmtId="0" fontId="11" fillId="0" borderId="0" xfId="42" applyFont="1" applyFill="1" applyAlignment="1">
      <alignment horizontal="right" vertical="center"/>
    </xf>
    <xf numFmtId="0" fontId="66" fillId="25" borderId="0" xfId="58" applyFill="1"/>
    <xf numFmtId="0" fontId="11" fillId="0" borderId="0" xfId="42" applyFont="1" applyFill="1" applyAlignment="1">
      <alignment horizontal="right"/>
    </xf>
    <xf numFmtId="0" fontId="51" fillId="0" borderId="0" xfId="57" applyFont="1" applyFill="1" applyAlignment="1">
      <alignment horizontal="left" vertical="center"/>
    </xf>
    <xf numFmtId="0" fontId="51" fillId="0" borderId="0" xfId="57" applyFont="1" applyFill="1" applyAlignment="1">
      <alignment horizontal="center" vertical="center"/>
    </xf>
    <xf numFmtId="0" fontId="50" fillId="0" borderId="0" xfId="57" applyFont="1" applyFill="1" applyAlignment="1">
      <alignment horizontal="center"/>
    </xf>
    <xf numFmtId="0" fontId="52" fillId="0" borderId="0" xfId="57" applyFont="1" applyFill="1" applyAlignment="1">
      <alignment horizontal="center" vertical="center"/>
    </xf>
    <xf numFmtId="0" fontId="55" fillId="0" borderId="0" xfId="57" applyFont="1" applyFill="1" applyBorder="1" applyAlignment="1">
      <alignment horizontal="center" vertical="center"/>
    </xf>
    <xf numFmtId="0" fontId="55" fillId="0" borderId="0" xfId="57" applyFont="1" applyFill="1" applyAlignment="1">
      <alignment horizontal="center" vertical="center"/>
    </xf>
    <xf numFmtId="0" fontId="66" fillId="0" borderId="0" xfId="58" applyFill="1"/>
    <xf numFmtId="0" fontId="56" fillId="25" borderId="15" xfId="42" applyFont="1" applyFill="1" applyBorder="1" applyAlignment="1">
      <alignment horizontal="center" vertical="center" wrapText="1"/>
    </xf>
    <xf numFmtId="0" fontId="56" fillId="25" borderId="14" xfId="42" applyFont="1" applyFill="1" applyBorder="1" applyAlignment="1">
      <alignment horizontal="center" vertical="center" wrapText="1"/>
    </xf>
    <xf numFmtId="0" fontId="56" fillId="25" borderId="16" xfId="42" applyFont="1" applyFill="1" applyBorder="1" applyAlignment="1">
      <alignment horizontal="center" vertical="center" wrapText="1"/>
    </xf>
    <xf numFmtId="2" fontId="10" fillId="25" borderId="10" xfId="60" applyNumberFormat="1" applyFont="1" applyFill="1" applyBorder="1" applyAlignment="1">
      <alignment horizontal="center" wrapText="1"/>
    </xf>
    <xf numFmtId="9" fontId="10" fillId="25" borderId="10" xfId="60" applyNumberFormat="1" applyFont="1" applyFill="1" applyBorder="1" applyAlignment="1">
      <alignment horizontal="center" wrapText="1"/>
    </xf>
    <xf numFmtId="169" fontId="10" fillId="25" borderId="10" xfId="60" applyNumberFormat="1" applyFont="1" applyFill="1" applyBorder="1" applyAlignment="1">
      <alignment horizontal="center" wrapText="1"/>
    </xf>
    <xf numFmtId="169" fontId="10" fillId="25" borderId="17" xfId="60" applyNumberFormat="1" applyFont="1" applyFill="1" applyBorder="1" applyAlignment="1">
      <alignment horizontal="center" wrapText="1"/>
    </xf>
    <xf numFmtId="0" fontId="37" fillId="0" borderId="10" xfId="42" applyNumberFormat="1" applyFont="1" applyBorder="1" applyAlignment="1">
      <alignment horizontal="center" vertical="center" wrapText="1"/>
    </xf>
    <xf numFmtId="0" fontId="37" fillId="0" borderId="10" xfId="42" applyFont="1" applyBorder="1" applyAlignment="1">
      <alignment vertical="center" wrapText="1"/>
    </xf>
    <xf numFmtId="0" fontId="10" fillId="0" borderId="10" xfId="42" applyNumberFormat="1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2" applyFont="1" applyFill="1" applyAlignment="1">
      <alignment vertical="center" wrapText="1"/>
    </xf>
    <xf numFmtId="0" fontId="10" fillId="0" borderId="10" xfId="42" applyFont="1" applyBorder="1" applyAlignment="1">
      <alignment vertical="center" wrapText="1"/>
    </xf>
    <xf numFmtId="0" fontId="10" fillId="0" borderId="0" xfId="42" applyFont="1" applyFill="1" applyBorder="1" applyAlignment="1">
      <alignment vertical="center" wrapText="1"/>
    </xf>
    <xf numFmtId="0" fontId="10" fillId="0" borderId="10" xfId="42" applyFont="1" applyBorder="1" applyAlignment="1">
      <alignment horizontal="justify" vertical="center" wrapText="1"/>
    </xf>
    <xf numFmtId="0" fontId="10" fillId="0" borderId="10" xfId="42" applyNumberFormat="1" applyFont="1" applyFill="1" applyBorder="1" applyAlignment="1">
      <alignment horizontal="left" vertical="center" wrapText="1"/>
    </xf>
    <xf numFmtId="167" fontId="37" fillId="0" borderId="10" xfId="42" applyNumberFormat="1" applyFont="1" applyFill="1" applyBorder="1" applyAlignment="1">
      <alignment horizontal="right" vertical="center" wrapText="1"/>
    </xf>
    <xf numFmtId="0" fontId="57" fillId="0" borderId="10" xfId="57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49" fontId="6" fillId="0" borderId="10" xfId="57" applyNumberFormat="1" applyFont="1" applyFill="1" applyBorder="1" applyAlignment="1">
      <alignment horizontal="center" vertical="center"/>
    </xf>
    <xf numFmtId="0" fontId="37" fillId="0" borderId="10" xfId="60" applyFont="1" applyFill="1" applyBorder="1" applyAlignment="1">
      <alignment horizontal="left" vertical="center" wrapText="1"/>
    </xf>
    <xf numFmtId="0" fontId="10" fillId="25" borderId="10" xfId="40" applyFont="1" applyFill="1" applyBorder="1" applyAlignment="1">
      <alignment horizontal="center" vertical="center" wrapText="1"/>
    </xf>
    <xf numFmtId="0" fontId="10" fillId="0" borderId="0" xfId="42" applyFont="1" applyAlignment="1">
      <alignment vertical="center" wrapText="1"/>
    </xf>
    <xf numFmtId="0" fontId="36" fillId="0" borderId="18" xfId="42" applyFont="1" applyFill="1" applyBorder="1" applyAlignment="1">
      <alignment horizontal="justify" vertical="center" wrapText="1"/>
    </xf>
    <xf numFmtId="0" fontId="35" fillId="0" borderId="18" xfId="42" applyFont="1" applyFill="1" applyBorder="1" applyAlignment="1">
      <alignment horizontal="justify" vertical="center" wrapText="1"/>
    </xf>
    <xf numFmtId="0" fontId="10" fillId="0" borderId="0" xfId="42" applyFill="1" applyAlignment="1">
      <alignment vertical="center" wrapText="1"/>
    </xf>
    <xf numFmtId="0" fontId="36" fillId="0" borderId="18" xfId="42" applyFont="1" applyFill="1" applyBorder="1" applyAlignment="1">
      <alignment vertical="center" wrapText="1"/>
    </xf>
    <xf numFmtId="0" fontId="3" fillId="0" borderId="0" xfId="57" applyFont="1" applyFill="1" applyAlignment="1">
      <alignment horizontal="center" vertical="center"/>
    </xf>
    <xf numFmtId="0" fontId="5" fillId="0" borderId="0" xfId="57" applyFont="1" applyFill="1"/>
    <xf numFmtId="0" fontId="34" fillId="0" borderId="10" xfId="57" applyFont="1" applyBorder="1" applyAlignment="1">
      <alignment horizontal="center" vertical="center" wrapText="1"/>
    </xf>
    <xf numFmtId="0" fontId="58" fillId="0" borderId="10" xfId="42" applyFont="1" applyFill="1" applyBorder="1" applyAlignment="1">
      <alignment horizontal="center" vertical="center" wrapText="1"/>
    </xf>
    <xf numFmtId="0" fontId="34" fillId="0" borderId="11" xfId="57" applyFont="1" applyBorder="1" applyAlignment="1">
      <alignment horizontal="center" vertical="center" wrapText="1"/>
    </xf>
    <xf numFmtId="0" fontId="10" fillId="0" borderId="0" xfId="40" applyFont="1" applyAlignment="1">
      <alignment horizontal="left" vertical="center"/>
    </xf>
    <xf numFmtId="0" fontId="37" fillId="0" borderId="12" xfId="40" applyFont="1" applyBorder="1" applyAlignment="1">
      <alignment horizontal="center" vertical="center" wrapText="1"/>
    </xf>
    <xf numFmtId="0" fontId="37" fillId="0" borderId="10" xfId="40" applyFont="1" applyBorder="1" applyAlignment="1">
      <alignment horizontal="center" vertical="center" wrapText="1"/>
    </xf>
    <xf numFmtId="0" fontId="37" fillId="0" borderId="10" xfId="40" applyFont="1" applyBorder="1" applyAlignment="1">
      <alignment horizontal="center" vertical="top"/>
    </xf>
    <xf numFmtId="0" fontId="37" fillId="0" borderId="10" xfId="40" applyFont="1" applyBorder="1" applyAlignment="1">
      <alignment horizontal="left" vertical="center"/>
    </xf>
    <xf numFmtId="0" fontId="41" fillId="0" borderId="0" xfId="40" applyFont="1" applyAlignment="1">
      <alignment horizontal="left"/>
    </xf>
    <xf numFmtId="0" fontId="40" fillId="0" borderId="0" xfId="40" applyFont="1" applyAlignment="1">
      <alignment horizontal="left"/>
    </xf>
    <xf numFmtId="0" fontId="40" fillId="0" borderId="0" xfId="40" applyFont="1" applyBorder="1" applyAlignment="1">
      <alignment horizontal="left"/>
    </xf>
    <xf numFmtId="0" fontId="59" fillId="0" borderId="0" xfId="53" applyFont="1" applyFill="1" applyAlignment="1"/>
    <xf numFmtId="0" fontId="0" fillId="0" borderId="0" xfId="0" applyFill="1"/>
    <xf numFmtId="0" fontId="59" fillId="0" borderId="0" xfId="53" applyFont="1" applyAlignment="1"/>
    <xf numFmtId="0" fontId="58" fillId="0" borderId="0" xfId="53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59" fillId="0" borderId="0" xfId="54" applyFont="1"/>
    <xf numFmtId="0" fontId="35" fillId="0" borderId="0" xfId="54" applyFont="1" applyFill="1"/>
    <xf numFmtId="0" fontId="34" fillId="0" borderId="1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/>
    </xf>
    <xf numFmtId="0" fontId="65" fillId="0" borderId="10" xfId="54" applyFont="1" applyBorder="1" applyAlignment="1">
      <alignment horizontal="center" vertical="center"/>
    </xf>
    <xf numFmtId="9" fontId="10" fillId="0" borderId="10" xfId="42" applyNumberFormat="1" applyFont="1" applyFill="1" applyBorder="1" applyAlignment="1">
      <alignment horizontal="center" vertical="center" wrapText="1"/>
    </xf>
    <xf numFmtId="2" fontId="10" fillId="25" borderId="10" xfId="0" applyNumberFormat="1" applyFont="1" applyFill="1" applyBorder="1" applyAlignment="1">
      <alignment horizontal="left" vertical="center"/>
    </xf>
    <xf numFmtId="0" fontId="37" fillId="0" borderId="20" xfId="0" applyFont="1" applyBorder="1" applyAlignment="1">
      <alignment horizontal="center" vertical="center" wrapText="1"/>
    </xf>
    <xf numFmtId="0" fontId="48" fillId="0" borderId="10" xfId="57" applyFont="1" applyBorder="1" applyAlignment="1">
      <alignment horizontal="left" vertical="center" wrapText="1"/>
    </xf>
    <xf numFmtId="49" fontId="6" fillId="26" borderId="10" xfId="57" applyNumberFormat="1" applyFont="1" applyFill="1" applyBorder="1" applyAlignment="1">
      <alignment vertical="center"/>
    </xf>
    <xf numFmtId="0" fontId="6" fillId="26" borderId="10" xfId="57" applyFont="1" applyFill="1" applyBorder="1" applyAlignment="1">
      <alignment horizontal="left" vertical="center" wrapText="1"/>
    </xf>
    <xf numFmtId="0" fontId="6" fillId="26" borderId="10" xfId="57" applyFont="1" applyFill="1" applyBorder="1" applyAlignment="1">
      <alignment vertical="center" wrapText="1"/>
    </xf>
    <xf numFmtId="0" fontId="6" fillId="26" borderId="0" xfId="57" applyFont="1" applyFill="1" applyBorder="1" applyAlignment="1">
      <alignment vertical="center"/>
    </xf>
    <xf numFmtId="0" fontId="3" fillId="26" borderId="0" xfId="57" applyFont="1" applyFill="1" applyBorder="1" applyAlignment="1">
      <alignment horizontal="center" vertical="center"/>
    </xf>
    <xf numFmtId="0" fontId="5" fillId="26" borderId="0" xfId="57" applyFont="1" applyFill="1" applyBorder="1"/>
    <xf numFmtId="0" fontId="5" fillId="26" borderId="0" xfId="57" applyFont="1" applyFill="1"/>
    <xf numFmtId="1" fontId="59" fillId="0" borderId="10" xfId="52" applyNumberFormat="1" applyFont="1" applyBorder="1" applyAlignment="1">
      <alignment horizontal="center" vertical="center" wrapText="1"/>
    </xf>
    <xf numFmtId="0" fontId="59" fillId="0" borderId="0" xfId="52" applyFont="1"/>
    <xf numFmtId="0" fontId="10" fillId="26" borderId="21" xfId="42" applyFont="1" applyFill="1" applyBorder="1" applyAlignment="1">
      <alignment horizontal="left" vertical="center" wrapText="1"/>
    </xf>
    <xf numFmtId="2" fontId="10" fillId="26" borderId="10" xfId="0" applyNumberFormat="1" applyFont="1" applyFill="1" applyBorder="1" applyAlignment="1">
      <alignment horizontal="left" vertical="center" wrapText="1"/>
    </xf>
    <xf numFmtId="0" fontId="35" fillId="0" borderId="18" xfId="42" applyFont="1" applyFill="1" applyBorder="1" applyAlignment="1">
      <alignment vertical="center" wrapText="1"/>
    </xf>
    <xf numFmtId="9" fontId="35" fillId="0" borderId="18" xfId="66" applyFont="1" applyFill="1" applyBorder="1" applyAlignment="1">
      <alignment horizontal="justify" vertical="center" wrapText="1"/>
    </xf>
    <xf numFmtId="2" fontId="35" fillId="0" borderId="18" xfId="42" applyNumberFormat="1" applyFont="1" applyFill="1" applyBorder="1" applyAlignment="1">
      <alignment horizontal="justify" vertical="center" wrapText="1"/>
    </xf>
    <xf numFmtId="0" fontId="36" fillId="0" borderId="18" xfId="42" applyFont="1" applyFill="1" applyBorder="1" applyAlignment="1">
      <alignment horizontal="left" vertical="center" wrapText="1"/>
    </xf>
    <xf numFmtId="168" fontId="10" fillId="25" borderId="10" xfId="40" applyNumberFormat="1" applyFont="1" applyFill="1" applyBorder="1" applyAlignment="1">
      <alignment horizontal="center" vertical="center" wrapText="1"/>
    </xf>
    <xf numFmtId="0" fontId="10" fillId="25" borderId="10" xfId="61" applyFont="1" applyFill="1" applyBorder="1" applyAlignment="1">
      <alignment horizontal="center" vertical="center" wrapText="1"/>
    </xf>
    <xf numFmtId="0" fontId="6" fillId="0" borderId="10" xfId="4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69" fillId="0" borderId="10" xfId="57" applyFont="1" applyFill="1" applyBorder="1" applyAlignment="1">
      <alignment horizontal="left" vertical="center" wrapText="1"/>
    </xf>
    <xf numFmtId="1" fontId="10" fillId="0" borderId="10" xfId="42" applyNumberFormat="1" applyFont="1" applyFill="1" applyBorder="1" applyAlignment="1">
      <alignment horizontal="center" vertical="center" wrapText="1"/>
    </xf>
    <xf numFmtId="0" fontId="35" fillId="27" borderId="18" xfId="42" applyFont="1" applyFill="1" applyBorder="1" applyAlignment="1">
      <alignment horizontal="justify" vertical="center" wrapText="1"/>
    </xf>
    <xf numFmtId="4" fontId="35" fillId="27" borderId="18" xfId="42" applyNumberFormat="1" applyFont="1" applyFill="1" applyBorder="1" applyAlignment="1">
      <alignment horizontal="justify" vertical="center" wrapText="1"/>
    </xf>
    <xf numFmtId="49" fontId="59" fillId="0" borderId="10" xfId="52" applyNumberFormat="1" applyFont="1" applyBorder="1" applyAlignment="1">
      <alignment horizontal="center" vertical="center" wrapText="1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22" xfId="57" applyNumberFormat="1" applyFont="1" applyFill="1" applyBorder="1" applyAlignment="1">
      <alignment horizontal="center" vertical="center"/>
    </xf>
    <xf numFmtId="49" fontId="6" fillId="0" borderId="19" xfId="57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7" fillId="0" borderId="0" xfId="57" applyFont="1" applyAlignment="1">
      <alignment horizontal="center" vertical="center"/>
    </xf>
    <xf numFmtId="0" fontId="47" fillId="0" borderId="0" xfId="57" applyFont="1" applyFill="1" applyAlignment="1">
      <alignment horizontal="center" vertical="center" wrapText="1"/>
    </xf>
    <xf numFmtId="0" fontId="47" fillId="0" borderId="0" xfId="57" applyFont="1" applyFill="1" applyAlignment="1">
      <alignment horizontal="center" vertical="center"/>
    </xf>
    <xf numFmtId="0" fontId="37" fillId="25" borderId="0" xfId="0" applyFont="1" applyFill="1" applyAlignment="1">
      <alignment horizontal="center" vertical="center"/>
    </xf>
    <xf numFmtId="0" fontId="4" fillId="25" borderId="0" xfId="57" applyFont="1" applyFill="1" applyAlignment="1">
      <alignment horizontal="center" vertical="center"/>
    </xf>
    <xf numFmtId="0" fontId="47" fillId="25" borderId="0" xfId="57" applyFont="1" applyFill="1" applyAlignment="1">
      <alignment horizontal="center" vertical="center"/>
    </xf>
    <xf numFmtId="0" fontId="6" fillId="25" borderId="0" xfId="57" applyFont="1" applyFill="1" applyAlignment="1">
      <alignment horizontal="center" vertical="center"/>
    </xf>
    <xf numFmtId="0" fontId="34" fillId="0" borderId="10" xfId="57" applyFont="1" applyBorder="1" applyAlignment="1">
      <alignment horizontal="center" vertical="center" wrapText="1"/>
    </xf>
    <xf numFmtId="0" fontId="34" fillId="0" borderId="14" xfId="57" applyFont="1" applyBorder="1" applyAlignment="1">
      <alignment horizontal="center" vertical="center" wrapText="1"/>
    </xf>
    <xf numFmtId="0" fontId="34" fillId="0" borderId="12" xfId="57" applyFont="1" applyBorder="1" applyAlignment="1">
      <alignment horizontal="center" vertical="center" wrapText="1"/>
    </xf>
    <xf numFmtId="0" fontId="4" fillId="0" borderId="10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" fillId="26" borderId="0" xfId="57" applyFont="1" applyFill="1" applyBorder="1" applyAlignment="1">
      <alignment horizontal="center" vertical="center"/>
    </xf>
    <xf numFmtId="0" fontId="6" fillId="0" borderId="23" xfId="57" applyFont="1" applyBorder="1" applyAlignment="1">
      <alignment vertical="center"/>
    </xf>
    <xf numFmtId="0" fontId="37" fillId="25" borderId="11" xfId="40" applyFont="1" applyFill="1" applyBorder="1" applyAlignment="1">
      <alignment horizontal="center" vertical="center" wrapText="1"/>
    </xf>
    <xf numFmtId="0" fontId="37" fillId="25" borderId="19" xfId="40" applyFont="1" applyFill="1" applyBorder="1" applyAlignment="1">
      <alignment horizontal="center" vertical="center" wrapText="1"/>
    </xf>
    <xf numFmtId="0" fontId="37" fillId="25" borderId="14" xfId="40" applyFont="1" applyFill="1" applyBorder="1" applyAlignment="1">
      <alignment horizontal="center" vertical="center"/>
    </xf>
    <xf numFmtId="0" fontId="37" fillId="25" borderId="13" xfId="40" applyFont="1" applyFill="1" applyBorder="1" applyAlignment="1">
      <alignment horizontal="center" vertical="center"/>
    </xf>
    <xf numFmtId="0" fontId="37" fillId="25" borderId="12" xfId="40" applyFont="1" applyFill="1" applyBorder="1" applyAlignment="1">
      <alignment horizontal="center" vertical="center"/>
    </xf>
    <xf numFmtId="0" fontId="37" fillId="25" borderId="24" xfId="40" applyFont="1" applyFill="1" applyBorder="1" applyAlignment="1">
      <alignment horizontal="center" vertical="center" wrapText="1"/>
    </xf>
    <xf numFmtId="0" fontId="37" fillId="25" borderId="20" xfId="40" applyFont="1" applyFill="1" applyBorder="1" applyAlignment="1">
      <alignment horizontal="center" vertical="center" wrapText="1"/>
    </xf>
    <xf numFmtId="0" fontId="37" fillId="25" borderId="25" xfId="40" applyFont="1" applyFill="1" applyBorder="1" applyAlignment="1">
      <alignment horizontal="center" vertical="center" wrapText="1"/>
    </xf>
    <xf numFmtId="0" fontId="37" fillId="25" borderId="26" xfId="40" applyFont="1" applyFill="1" applyBorder="1" applyAlignment="1">
      <alignment horizontal="center" vertical="center" wrapText="1"/>
    </xf>
    <xf numFmtId="0" fontId="37" fillId="25" borderId="14" xfId="40" applyFont="1" applyFill="1" applyBorder="1" applyAlignment="1">
      <alignment horizontal="center" vertical="center" wrapText="1"/>
    </xf>
    <xf numFmtId="0" fontId="37" fillId="25" borderId="12" xfId="40" applyFont="1" applyFill="1" applyBorder="1" applyAlignment="1">
      <alignment horizontal="center" vertical="center" wrapText="1"/>
    </xf>
    <xf numFmtId="0" fontId="3" fillId="25" borderId="0" xfId="57" applyFont="1" applyFill="1" applyAlignment="1">
      <alignment horizontal="center" vertical="center"/>
    </xf>
    <xf numFmtId="0" fontId="37" fillId="25" borderId="13" xfId="40" applyFont="1" applyFill="1" applyBorder="1" applyAlignment="1">
      <alignment horizontal="center" vertical="center" wrapText="1"/>
    </xf>
    <xf numFmtId="0" fontId="7" fillId="25" borderId="0" xfId="57" applyFont="1" applyFill="1" applyAlignment="1">
      <alignment horizontal="center" vertical="center"/>
    </xf>
    <xf numFmtId="0" fontId="10" fillId="25" borderId="23" xfId="40" applyFont="1" applyFill="1" applyBorder="1" applyAlignment="1">
      <alignment horizontal="left" vertical="center"/>
    </xf>
    <xf numFmtId="0" fontId="37" fillId="0" borderId="24" xfId="40" applyFont="1" applyBorder="1" applyAlignment="1">
      <alignment horizontal="center" vertical="center" wrapText="1"/>
    </xf>
    <xf numFmtId="0" fontId="37" fillId="0" borderId="20" xfId="40" applyFont="1" applyBorder="1" applyAlignment="1">
      <alignment horizontal="center" vertical="center" wrapText="1"/>
    </xf>
    <xf numFmtId="0" fontId="37" fillId="0" borderId="25" xfId="40" applyFont="1" applyBorder="1" applyAlignment="1">
      <alignment horizontal="center" vertical="center" wrapText="1"/>
    </xf>
    <xf numFmtId="0" fontId="37" fillId="0" borderId="26" xfId="40" applyFont="1" applyBorder="1" applyAlignment="1">
      <alignment horizontal="center" vertical="center" wrapText="1"/>
    </xf>
    <xf numFmtId="0" fontId="37" fillId="0" borderId="11" xfId="40" applyFont="1" applyBorder="1" applyAlignment="1">
      <alignment horizontal="center" vertical="center" wrapText="1"/>
    </xf>
    <xf numFmtId="0" fontId="37" fillId="0" borderId="22" xfId="40" applyFont="1" applyBorder="1" applyAlignment="1">
      <alignment horizontal="center" vertical="center" wrapText="1"/>
    </xf>
    <xf numFmtId="0" fontId="37" fillId="0" borderId="14" xfId="40" applyFont="1" applyBorder="1" applyAlignment="1">
      <alignment horizontal="center" vertical="center" wrapText="1"/>
    </xf>
    <xf numFmtId="0" fontId="37" fillId="0" borderId="13" xfId="40" applyFont="1" applyBorder="1" applyAlignment="1">
      <alignment horizontal="center" vertical="center" wrapText="1"/>
    </xf>
    <xf numFmtId="0" fontId="37" fillId="0" borderId="12" xfId="40" applyFont="1" applyBorder="1" applyAlignment="1">
      <alignment horizontal="center" vertical="center" wrapText="1"/>
    </xf>
    <xf numFmtId="0" fontId="37" fillId="0" borderId="19" xfId="40" applyFont="1" applyBorder="1" applyAlignment="1">
      <alignment horizontal="center" vertical="center" wrapText="1"/>
    </xf>
    <xf numFmtId="0" fontId="3" fillId="0" borderId="0" xfId="57" applyFont="1" applyAlignment="1">
      <alignment horizontal="center" vertical="center"/>
    </xf>
    <xf numFmtId="0" fontId="59" fillId="0" borderId="0" xfId="53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59" fillId="0" borderId="0" xfId="53" applyFont="1" applyAlignment="1">
      <alignment horizontal="center"/>
    </xf>
    <xf numFmtId="0" fontId="58" fillId="0" borderId="0" xfId="53" applyFont="1" applyFill="1" applyAlignment="1">
      <alignment horizontal="center"/>
    </xf>
    <xf numFmtId="0" fontId="34" fillId="0" borderId="11" xfId="57" applyFont="1" applyBorder="1" applyAlignment="1">
      <alignment horizontal="center" vertical="center" wrapText="1"/>
    </xf>
    <xf numFmtId="0" fontId="34" fillId="0" borderId="22" xfId="57" applyFont="1" applyBorder="1" applyAlignment="1">
      <alignment horizontal="center" vertical="center" wrapText="1"/>
    </xf>
    <xf numFmtId="0" fontId="34" fillId="0" borderId="19" xfId="57" applyFont="1" applyBorder="1" applyAlignment="1">
      <alignment horizontal="center" vertical="center" wrapText="1"/>
    </xf>
    <xf numFmtId="0" fontId="4" fillId="0" borderId="23" xfId="57" applyFont="1" applyBorder="1" applyAlignment="1">
      <alignment horizontal="center" vertical="center" wrapText="1"/>
    </xf>
    <xf numFmtId="0" fontId="54" fillId="0" borderId="0" xfId="57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52" fillId="0" borderId="0" xfId="57" applyFont="1" applyFill="1" applyAlignment="1">
      <alignment horizontal="center" vertical="center"/>
    </xf>
    <xf numFmtId="0" fontId="53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0" fontId="56" fillId="25" borderId="27" xfId="42" applyFont="1" applyFill="1" applyBorder="1" applyAlignment="1">
      <alignment horizontal="center" vertical="center" wrapText="1"/>
    </xf>
    <xf numFmtId="0" fontId="56" fillId="25" borderId="28" xfId="42" applyFont="1" applyFill="1" applyBorder="1" applyAlignment="1">
      <alignment horizontal="center" vertical="center" wrapText="1"/>
    </xf>
    <xf numFmtId="0" fontId="56" fillId="25" borderId="29" xfId="42" applyFont="1" applyFill="1" applyBorder="1" applyAlignment="1">
      <alignment horizontal="center" vertical="center" wrapText="1"/>
    </xf>
    <xf numFmtId="0" fontId="56" fillId="25" borderId="30" xfId="42" applyFont="1" applyFill="1" applyBorder="1" applyAlignment="1">
      <alignment horizontal="center" vertical="center" wrapText="1"/>
    </xf>
    <xf numFmtId="0" fontId="56" fillId="25" borderId="10" xfId="42" applyFont="1" applyFill="1" applyBorder="1" applyAlignment="1">
      <alignment horizontal="center" vertical="center" wrapText="1"/>
    </xf>
    <xf numFmtId="0" fontId="56" fillId="25" borderId="17" xfId="42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4" xfId="42" applyNumberFormat="1" applyFont="1" applyFill="1" applyBorder="1" applyAlignment="1">
      <alignment horizontal="center" vertical="center" wrapText="1"/>
    </xf>
    <xf numFmtId="0" fontId="37" fillId="0" borderId="13" xfId="42" applyNumberFormat="1" applyFont="1" applyFill="1" applyBorder="1" applyAlignment="1">
      <alignment horizontal="center" vertical="center" wrapText="1"/>
    </xf>
    <xf numFmtId="0" fontId="37" fillId="0" borderId="12" xfId="42" applyNumberFormat="1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25" xfId="42" applyFont="1" applyFill="1" applyBorder="1" applyAlignment="1">
      <alignment horizontal="center" vertical="center" wrapText="1"/>
    </xf>
    <xf numFmtId="0" fontId="37" fillId="0" borderId="26" xfId="42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top" wrapText="1"/>
    </xf>
    <xf numFmtId="0" fontId="3" fillId="0" borderId="0" xfId="57" applyFont="1" applyFill="1" applyBorder="1" applyAlignment="1">
      <alignment horizontal="center" vertical="center"/>
    </xf>
    <xf numFmtId="0" fontId="37" fillId="0" borderId="10" xfId="62" applyFont="1" applyFill="1" applyBorder="1" applyAlignment="1">
      <alignment horizontal="center" vertical="center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Alignment="1">
      <alignment horizontal="left" wrapText="1"/>
    </xf>
    <xf numFmtId="0" fontId="10" fillId="0" borderId="0" xfId="42" applyFont="1" applyFill="1" applyBorder="1" applyAlignment="1">
      <alignment horizontal="left"/>
    </xf>
    <xf numFmtId="0" fontId="10" fillId="0" borderId="0" xfId="42" applyFont="1" applyFill="1" applyAlignment="1">
      <alignment horizontal="center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3" xfId="42" applyFont="1" applyFill="1" applyBorder="1" applyAlignment="1">
      <alignment horizontal="center" vertical="center" wrapText="1"/>
    </xf>
    <xf numFmtId="0" fontId="37" fillId="0" borderId="10" xfId="42" applyFont="1" applyBorder="1" applyAlignment="1">
      <alignment horizontal="center" vertical="center"/>
    </xf>
    <xf numFmtId="0" fontId="37" fillId="0" borderId="0" xfId="42" applyFont="1" applyFill="1" applyAlignment="1">
      <alignment horizontal="center"/>
    </xf>
    <xf numFmtId="0" fontId="37" fillId="0" borderId="1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5" fillId="0" borderId="0" xfId="54" applyFont="1" applyFill="1" applyAlignment="1">
      <alignment horizontal="center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19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0" fontId="34" fillId="0" borderId="24" xfId="54" applyFont="1" applyFill="1" applyBorder="1" applyAlignment="1">
      <alignment horizontal="center" vertical="center" wrapText="1"/>
    </xf>
    <xf numFmtId="0" fontId="34" fillId="0" borderId="31" xfId="54" applyFont="1" applyFill="1" applyBorder="1" applyAlignment="1">
      <alignment horizontal="center" vertical="center" wrapText="1"/>
    </xf>
    <xf numFmtId="0" fontId="34" fillId="0" borderId="25" xfId="54" applyFont="1" applyFill="1" applyBorder="1" applyAlignment="1">
      <alignment horizontal="center" vertical="center" wrapText="1"/>
    </xf>
    <xf numFmtId="0" fontId="58" fillId="0" borderId="23" xfId="54" applyFont="1" applyFill="1" applyBorder="1" applyAlignment="1">
      <alignment horizontal="center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64" fillId="0" borderId="10" xfId="54" applyFont="1" applyFill="1" applyBorder="1" applyAlignment="1">
      <alignment horizontal="center" vertical="center" wrapText="1"/>
    </xf>
    <xf numFmtId="0" fontId="58" fillId="0" borderId="1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0" fontId="34" fillId="0" borderId="14" xfId="48" applyFont="1" applyFill="1" applyBorder="1" applyAlignment="1">
      <alignment horizontal="center" vertical="center" textRotation="90" wrapText="1"/>
    </xf>
    <xf numFmtId="0" fontId="34" fillId="0" borderId="12" xfId="48" applyFont="1" applyFill="1" applyBorder="1" applyAlignment="1">
      <alignment horizontal="center" vertical="center" textRotation="90" wrapText="1"/>
    </xf>
    <xf numFmtId="0" fontId="37" fillId="0" borderId="14" xfId="42" applyFont="1" applyFill="1" applyBorder="1" applyAlignment="1">
      <alignment horizontal="center" vertical="center" textRotation="90" wrapText="1"/>
    </xf>
    <xf numFmtId="0" fontId="37" fillId="0" borderId="12" xfId="42" applyFont="1" applyFill="1" applyBorder="1" applyAlignment="1">
      <alignment horizontal="center" vertical="center" textRotation="90" wrapText="1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0" fontId="36" fillId="0" borderId="0" xfId="42" applyFont="1" applyFill="1" applyAlignment="1">
      <alignment horizontal="center" wrapText="1"/>
    </xf>
    <xf numFmtId="0" fontId="36" fillId="0" borderId="0" xfId="42" applyFont="1" applyFill="1" applyAlignment="1">
      <alignment horizontal="center"/>
    </xf>
    <xf numFmtId="0" fontId="44" fillId="0" borderId="0" xfId="42" applyFont="1" applyFill="1" applyAlignment="1">
      <alignment horizontal="center"/>
    </xf>
    <xf numFmtId="2" fontId="59" fillId="0" borderId="10" xfId="52" applyNumberFormat="1" applyFont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 2" xfId="37"/>
    <cellStyle name="Обычный 12 2" xfId="38"/>
    <cellStyle name="Обычный 2" xfId="39"/>
    <cellStyle name="Обычный 2 2" xfId="40"/>
    <cellStyle name="Обычный 2_Xl0000845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6 2 3_Паспорт инвестроекта для Оли замечания" xfId="53"/>
    <cellStyle name="Обычный 6 2 3_ССПИ на ПС №84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ИПР 2008 ПЭ корр_прил 1.1" xfId="60"/>
    <cellStyle name="Обычный_ИПР 2008 ПЭ корр_прил 1.4" xfId="61"/>
    <cellStyle name="Обычный_Форматы по компаниям_last" xfId="62"/>
    <cellStyle name="Плохой 2" xfId="63"/>
    <cellStyle name="Пояснение 2" xfId="64"/>
    <cellStyle name="Примечание 2" xfId="65"/>
    <cellStyle name="Процентный" xfId="66" builtinId="5"/>
    <cellStyle name="Процентный 2" xfId="67"/>
    <cellStyle name="Процентный 3" xfId="68"/>
    <cellStyle name="Процентный 4" xfId="69"/>
    <cellStyle name="Связанная ячейка 2" xfId="70"/>
    <cellStyle name="Стиль 1" xfId="71"/>
    <cellStyle name="Текст предупреждения 2" xfId="72"/>
    <cellStyle name="Финансовый 2" xfId="73"/>
    <cellStyle name="Финансовый 2 2 2 2 2" xfId="74"/>
    <cellStyle name="Финансовый 3" xfId="75"/>
    <cellStyle name="Хороший 2" xfId="76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88;&#1090;&#1072;%20&#1076;&#1083;&#1103;%203%20&#1082;&#1074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_Che221_18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  <cell r="MC3">
            <v>0</v>
          </cell>
          <cell r="MD3">
            <v>0</v>
          </cell>
          <cell r="ME3">
            <v>0</v>
          </cell>
          <cell r="MF3">
            <v>0</v>
          </cell>
          <cell r="MG3">
            <v>0</v>
          </cell>
          <cell r="MH3">
            <v>0</v>
          </cell>
          <cell r="MI3">
            <v>0</v>
          </cell>
          <cell r="MJ3">
            <v>0</v>
          </cell>
          <cell r="MK3">
            <v>0</v>
          </cell>
          <cell r="ML3">
            <v>0</v>
          </cell>
          <cell r="MM3">
            <v>0</v>
          </cell>
          <cell r="MN3">
            <v>0</v>
          </cell>
          <cell r="MO3">
            <v>0</v>
          </cell>
          <cell r="MP3">
            <v>0</v>
          </cell>
          <cell r="MQ3">
            <v>0</v>
          </cell>
          <cell r="MR3">
            <v>0</v>
          </cell>
          <cell r="MS3">
            <v>0</v>
          </cell>
          <cell r="MT3">
            <v>0</v>
          </cell>
          <cell r="MU3">
            <v>0</v>
          </cell>
          <cell r="MV3">
            <v>0</v>
          </cell>
          <cell r="MW3">
            <v>0</v>
          </cell>
          <cell r="MX3">
            <v>0</v>
          </cell>
          <cell r="MY3">
            <v>0</v>
          </cell>
          <cell r="MZ3">
            <v>0</v>
          </cell>
          <cell r="NA3">
            <v>0</v>
          </cell>
          <cell r="NB3">
            <v>0</v>
          </cell>
          <cell r="NC3">
            <v>0</v>
          </cell>
          <cell r="ND3">
            <v>0</v>
          </cell>
          <cell r="NE3">
            <v>0</v>
          </cell>
          <cell r="NF3">
            <v>0</v>
          </cell>
          <cell r="NG3">
            <v>0</v>
          </cell>
          <cell r="NH3">
            <v>0</v>
          </cell>
          <cell r="NI3">
            <v>0</v>
          </cell>
          <cell r="NJ3">
            <v>0</v>
          </cell>
          <cell r="NK3">
            <v>0</v>
          </cell>
          <cell r="NL3">
            <v>0</v>
          </cell>
          <cell r="NM3">
            <v>0</v>
          </cell>
          <cell r="NN3">
            <v>0</v>
          </cell>
          <cell r="NO3">
            <v>0</v>
          </cell>
          <cell r="NP3">
            <v>0</v>
          </cell>
          <cell r="NQ3">
            <v>0</v>
          </cell>
          <cell r="NR3">
            <v>0</v>
          </cell>
          <cell r="NS3">
            <v>0</v>
          </cell>
          <cell r="NT3">
            <v>0</v>
          </cell>
          <cell r="NU3">
            <v>0</v>
          </cell>
          <cell r="NV3">
            <v>0</v>
          </cell>
          <cell r="NW3">
            <v>0</v>
          </cell>
          <cell r="NX3">
            <v>0</v>
          </cell>
          <cell r="NY3">
            <v>0</v>
          </cell>
          <cell r="NZ3">
            <v>0</v>
          </cell>
          <cell r="OA3">
            <v>0</v>
          </cell>
          <cell r="OB3">
            <v>0</v>
          </cell>
          <cell r="OC3">
            <v>0</v>
          </cell>
          <cell r="OD3">
            <v>0</v>
          </cell>
          <cell r="OE3">
            <v>0</v>
          </cell>
          <cell r="OL3">
            <v>0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план 2019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 t="str">
            <v>план 2018 1кв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 t="str">
            <v>план 2018 2кв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 t="str">
            <v>план 2018 3кв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 t="str">
            <v>план 2018 4кв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 t="str">
            <v>план 2018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 t="str">
            <v>план квартал финансирования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 t="str">
            <v>факт 2018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 t="str">
            <v>факт 1кв 2018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 t="str">
            <v>факт 2кв 2018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 t="str">
            <v>факт 3кв 2018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 t="str">
            <v>факт 4кв 2018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 t="str">
            <v>факт квартал 2018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 t="str">
            <v>факт квартал финансирования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 t="str">
            <v>Всего по инвестпроекту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 t="str">
            <v>План 2019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O4">
            <v>0</v>
          </cell>
          <cell r="IP4">
            <v>0</v>
          </cell>
          <cell r="IQ4">
            <v>0</v>
          </cell>
          <cell r="IR4">
            <v>0</v>
          </cell>
          <cell r="IS4">
            <v>0</v>
          </cell>
          <cell r="IT4">
            <v>0</v>
          </cell>
          <cell r="IU4">
            <v>0</v>
          </cell>
          <cell r="IV4">
            <v>0</v>
          </cell>
          <cell r="IW4">
            <v>0</v>
          </cell>
          <cell r="IX4">
            <v>0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C4">
            <v>0</v>
          </cell>
          <cell r="LD4">
            <v>0</v>
          </cell>
          <cell r="LE4">
            <v>0</v>
          </cell>
          <cell r="LF4">
            <v>0</v>
          </cell>
          <cell r="LG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Q4" t="str">
            <v>Вывод всего план</v>
          </cell>
          <cell r="LR4">
            <v>0</v>
          </cell>
          <cell r="LS4">
            <v>0</v>
          </cell>
          <cell r="LT4">
            <v>0</v>
          </cell>
          <cell r="LU4">
            <v>0</v>
          </cell>
          <cell r="LX4" t="str">
            <v>Вывод 2018г</v>
          </cell>
          <cell r="LY4">
            <v>0</v>
          </cell>
          <cell r="LZ4">
            <v>0</v>
          </cell>
          <cell r="MA4">
            <v>0</v>
          </cell>
          <cell r="MB4">
            <v>0</v>
          </cell>
          <cell r="MC4" t="str">
            <v>Вывод План 2018</v>
          </cell>
          <cell r="MD4">
            <v>0</v>
          </cell>
          <cell r="ME4">
            <v>0</v>
          </cell>
          <cell r="MF4">
            <v>0</v>
          </cell>
          <cell r="MG4">
            <v>0</v>
          </cell>
          <cell r="MH4">
            <v>0</v>
          </cell>
          <cell r="MI4">
            <v>0</v>
          </cell>
          <cell r="MJ4">
            <v>0</v>
          </cell>
          <cell r="MK4">
            <v>0</v>
          </cell>
          <cell r="ML4">
            <v>0</v>
          </cell>
          <cell r="MM4">
            <v>0</v>
          </cell>
          <cell r="MN4">
            <v>0</v>
          </cell>
          <cell r="MO4">
            <v>0</v>
          </cell>
          <cell r="MP4">
            <v>0</v>
          </cell>
          <cell r="MQ4">
            <v>0</v>
          </cell>
          <cell r="MR4">
            <v>0</v>
          </cell>
          <cell r="MS4">
            <v>0</v>
          </cell>
          <cell r="MT4">
            <v>0</v>
          </cell>
          <cell r="MU4">
            <v>0</v>
          </cell>
          <cell r="MV4">
            <v>0</v>
          </cell>
          <cell r="MW4">
            <v>0</v>
          </cell>
          <cell r="MX4">
            <v>0</v>
          </cell>
          <cell r="MY4">
            <v>0</v>
          </cell>
          <cell r="MZ4">
            <v>0</v>
          </cell>
          <cell r="NA4">
            <v>0</v>
          </cell>
          <cell r="NB4" t="str">
            <v>Вывод текущий квартал</v>
          </cell>
          <cell r="NC4">
            <v>0</v>
          </cell>
          <cell r="ND4">
            <v>0</v>
          </cell>
          <cell r="NE4">
            <v>0</v>
          </cell>
          <cell r="NF4">
            <v>0</v>
          </cell>
          <cell r="NG4" t="str">
            <v>Вывод Факт 2018</v>
          </cell>
          <cell r="NH4">
            <v>0</v>
          </cell>
          <cell r="NI4">
            <v>0</v>
          </cell>
          <cell r="NJ4">
            <v>0</v>
          </cell>
          <cell r="NK4">
            <v>0</v>
          </cell>
          <cell r="NL4">
            <v>0</v>
          </cell>
          <cell r="NM4">
            <v>0</v>
          </cell>
          <cell r="NN4">
            <v>0</v>
          </cell>
          <cell r="NO4">
            <v>0</v>
          </cell>
          <cell r="NP4">
            <v>0</v>
          </cell>
          <cell r="NQ4">
            <v>0</v>
          </cell>
          <cell r="NR4">
            <v>0</v>
          </cell>
          <cell r="NS4">
            <v>0</v>
          </cell>
          <cell r="NT4">
            <v>0</v>
          </cell>
          <cell r="NU4">
            <v>0</v>
          </cell>
          <cell r="NV4">
            <v>0</v>
          </cell>
          <cell r="NW4">
            <v>0</v>
          </cell>
          <cell r="NX4">
            <v>0</v>
          </cell>
          <cell r="NY4">
            <v>0</v>
          </cell>
          <cell r="NZ4">
            <v>0</v>
          </cell>
          <cell r="OA4">
            <v>0</v>
          </cell>
          <cell r="OB4">
            <v>0</v>
          </cell>
          <cell r="OC4">
            <v>0</v>
          </cell>
          <cell r="OD4">
            <v>0</v>
          </cell>
          <cell r="OE4">
            <v>0</v>
          </cell>
          <cell r="OF4" t="str">
            <v>Вывод текущий квартал</v>
          </cell>
          <cell r="OG4">
            <v>0</v>
          </cell>
          <cell r="OH4">
            <v>0</v>
          </cell>
          <cell r="OI4">
            <v>0</v>
          </cell>
          <cell r="OJ4">
            <v>0</v>
          </cell>
          <cell r="OL4">
            <v>0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U5">
            <v>0</v>
          </cell>
          <cell r="CX5" t="str">
            <v>Утв. План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B5">
            <v>0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K5">
            <v>0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D5">
            <v>0</v>
          </cell>
          <cell r="ME5">
            <v>0</v>
          </cell>
          <cell r="MF5">
            <v>0</v>
          </cell>
          <cell r="MG5">
            <v>0</v>
          </cell>
          <cell r="MH5" t="str">
            <v>1 квартал</v>
          </cell>
          <cell r="MI5">
            <v>0</v>
          </cell>
          <cell r="MJ5">
            <v>0</v>
          </cell>
          <cell r="MK5">
            <v>0</v>
          </cell>
          <cell r="ML5">
            <v>0</v>
          </cell>
          <cell r="MM5" t="str">
            <v>2 квартал</v>
          </cell>
          <cell r="MN5">
            <v>0</v>
          </cell>
          <cell r="MO5">
            <v>0</v>
          </cell>
          <cell r="MP5">
            <v>0</v>
          </cell>
          <cell r="MQ5">
            <v>0</v>
          </cell>
          <cell r="MR5" t="str">
            <v xml:space="preserve">3 квартал </v>
          </cell>
          <cell r="MS5">
            <v>0</v>
          </cell>
          <cell r="MT5">
            <v>0</v>
          </cell>
          <cell r="MU5">
            <v>0</v>
          </cell>
          <cell r="MV5">
            <v>0</v>
          </cell>
          <cell r="MW5" t="str">
            <v>4 квартал</v>
          </cell>
          <cell r="MX5">
            <v>0</v>
          </cell>
          <cell r="MY5">
            <v>0</v>
          </cell>
          <cell r="MZ5">
            <v>0</v>
          </cell>
          <cell r="NA5">
            <v>0</v>
          </cell>
          <cell r="NB5">
            <v>0</v>
          </cell>
          <cell r="NC5">
            <v>0</v>
          </cell>
          <cell r="ND5">
            <v>0</v>
          </cell>
          <cell r="NE5">
            <v>0</v>
          </cell>
          <cell r="NF5">
            <v>0</v>
          </cell>
          <cell r="NG5" t="str">
            <v>Всего</v>
          </cell>
          <cell r="NH5">
            <v>0</v>
          </cell>
          <cell r="NI5">
            <v>0</v>
          </cell>
          <cell r="NJ5">
            <v>0</v>
          </cell>
          <cell r="NK5">
            <v>0</v>
          </cell>
          <cell r="NL5" t="str">
            <v>1 квартал</v>
          </cell>
          <cell r="NM5">
            <v>0</v>
          </cell>
          <cell r="NN5">
            <v>0</v>
          </cell>
          <cell r="NO5">
            <v>0</v>
          </cell>
          <cell r="NP5">
            <v>0</v>
          </cell>
          <cell r="NQ5" t="str">
            <v>2 квартал</v>
          </cell>
          <cell r="NR5">
            <v>0</v>
          </cell>
          <cell r="NS5">
            <v>0</v>
          </cell>
          <cell r="NT5">
            <v>0</v>
          </cell>
          <cell r="NU5">
            <v>0</v>
          </cell>
          <cell r="NV5" t="str">
            <v xml:space="preserve">3 квартал </v>
          </cell>
          <cell r="NW5">
            <v>0</v>
          </cell>
          <cell r="NX5">
            <v>0</v>
          </cell>
          <cell r="NY5">
            <v>0</v>
          </cell>
          <cell r="NZ5">
            <v>0</v>
          </cell>
          <cell r="OA5" t="str">
            <v>4 квартал</v>
          </cell>
          <cell r="OB5">
            <v>0</v>
          </cell>
          <cell r="OC5">
            <v>0</v>
          </cell>
          <cell r="OD5">
            <v>0</v>
          </cell>
          <cell r="OE5">
            <v>0</v>
          </cell>
          <cell r="OF5">
            <v>0</v>
          </cell>
          <cell r="OG5">
            <v>0</v>
          </cell>
          <cell r="OH5">
            <v>0</v>
          </cell>
          <cell r="OI5">
            <v>0</v>
          </cell>
          <cell r="OJ5">
            <v>0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O5">
            <v>0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  <cell r="OL6">
            <v>0</v>
          </cell>
          <cell r="OM6">
            <v>0</v>
          </cell>
          <cell r="ON6">
            <v>0</v>
          </cell>
          <cell r="OO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DC7">
            <v>0</v>
          </cell>
          <cell r="OL7">
            <v>0</v>
          </cell>
          <cell r="OM7">
            <v>0</v>
          </cell>
          <cell r="ON7">
            <v>0</v>
          </cell>
          <cell r="OO7">
            <v>0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F8">
            <v>0</v>
          </cell>
          <cell r="G8">
            <v>0</v>
          </cell>
          <cell r="H8">
            <v>1802.8570480087994</v>
          </cell>
          <cell r="I8">
            <v>0</v>
          </cell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F8">
            <v>0</v>
          </cell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F9">
            <v>0</v>
          </cell>
          <cell r="G9">
            <v>0</v>
          </cell>
          <cell r="H9">
            <v>1120.4846779619993</v>
          </cell>
          <cell r="I9">
            <v>0</v>
          </cell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F9">
            <v>0</v>
          </cell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F10">
            <v>0</v>
          </cell>
          <cell r="G10">
            <v>0</v>
          </cell>
          <cell r="H10">
            <v>13.064873009999365</v>
          </cell>
          <cell r="I10">
            <v>0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F10">
            <v>0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F11">
            <v>0</v>
          </cell>
          <cell r="G11">
            <v>0</v>
          </cell>
          <cell r="H11">
            <v>12.894005739999365</v>
          </cell>
          <cell r="I11">
            <v>0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F11">
            <v>0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F12">
            <v>0</v>
          </cell>
          <cell r="G12">
            <v>0</v>
          </cell>
          <cell r="H12">
            <v>0.17086726999999999</v>
          </cell>
          <cell r="I12">
            <v>0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F12">
            <v>0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F13">
            <v>0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F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F15">
            <v>0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F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F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F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F19">
            <v>0</v>
          </cell>
          <cell r="G19">
            <v>0</v>
          </cell>
          <cell r="H19">
            <v>1106.7092502519999</v>
          </cell>
          <cell r="I19">
            <v>0</v>
          </cell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F19">
            <v>0</v>
          </cell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F20">
            <v>0</v>
          </cell>
          <cell r="G20">
            <v>0</v>
          </cell>
          <cell r="H20">
            <v>1106.7092502519999</v>
          </cell>
          <cell r="I20">
            <v>0</v>
          </cell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F20">
            <v>0</v>
          </cell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F21">
            <v>0</v>
          </cell>
          <cell r="G21">
            <v>0</v>
          </cell>
          <cell r="H21">
            <v>860.53238519199999</v>
          </cell>
          <cell r="I21">
            <v>0</v>
          </cell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F21">
            <v>0</v>
          </cell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F22">
            <v>0</v>
          </cell>
          <cell r="G22">
            <v>0</v>
          </cell>
          <cell r="H22">
            <v>5.3993313399999998</v>
          </cell>
          <cell r="I22">
            <v>0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F22">
            <v>0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F23">
            <v>0</v>
          </cell>
          <cell r="G23">
            <v>0</v>
          </cell>
          <cell r="H23">
            <v>0.11303014999999991</v>
          </cell>
          <cell r="I23">
            <v>0</v>
          </cell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F23">
            <v>0</v>
          </cell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F24">
            <v>0</v>
          </cell>
          <cell r="G24">
            <v>0</v>
          </cell>
          <cell r="H24">
            <v>82.344335689999994</v>
          </cell>
          <cell r="I24">
            <v>0</v>
          </cell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F24">
            <v>0</v>
          </cell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F25">
            <v>0</v>
          </cell>
          <cell r="G25">
            <v>0</v>
          </cell>
          <cell r="H25">
            <v>76.202615679999994</v>
          </cell>
          <cell r="I25">
            <v>0</v>
          </cell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F25">
            <v>0</v>
          </cell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F26">
            <v>0</v>
          </cell>
          <cell r="G26">
            <v>0</v>
          </cell>
          <cell r="H26">
            <v>68.13304749000001</v>
          </cell>
          <cell r="I26">
            <v>0</v>
          </cell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F26">
            <v>0</v>
          </cell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F27">
            <v>0</v>
          </cell>
          <cell r="G27">
            <v>0</v>
          </cell>
          <cell r="H27">
            <v>121.54313086200001</v>
          </cell>
          <cell r="I27">
            <v>0</v>
          </cell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F27">
            <v>0</v>
          </cell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F28">
            <v>0</v>
          </cell>
          <cell r="G28">
            <v>0</v>
          </cell>
          <cell r="H28">
            <v>506.79689398000005</v>
          </cell>
          <cell r="I28">
            <v>0</v>
          </cell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F28">
            <v>0</v>
          </cell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F29">
            <v>0</v>
          </cell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F30">
            <v>0</v>
          </cell>
          <cell r="G30">
            <v>0</v>
          </cell>
          <cell r="H30">
            <v>246.17686506000001</v>
          </cell>
          <cell r="I30">
            <v>0</v>
          </cell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F30">
            <v>0</v>
          </cell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F31">
            <v>0</v>
          </cell>
          <cell r="G31">
            <v>0</v>
          </cell>
          <cell r="H31">
            <v>104.56585699</v>
          </cell>
          <cell r="I31">
            <v>0</v>
          </cell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F31">
            <v>0</v>
          </cell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F32">
            <v>0</v>
          </cell>
          <cell r="G32">
            <v>0</v>
          </cell>
          <cell r="H32">
            <v>75.427327680000005</v>
          </cell>
          <cell r="I32">
            <v>0</v>
          </cell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F32">
            <v>0</v>
          </cell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F33">
            <v>0</v>
          </cell>
          <cell r="G33">
            <v>0</v>
          </cell>
          <cell r="H33">
            <v>1.3502471700000001</v>
          </cell>
          <cell r="I33">
            <v>0</v>
          </cell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F33">
            <v>0</v>
          </cell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F34">
            <v>0</v>
          </cell>
          <cell r="G34">
            <v>0</v>
          </cell>
          <cell r="H34">
            <v>1.2415396099999998</v>
          </cell>
          <cell r="I34">
            <v>0</v>
          </cell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F34">
            <v>0</v>
          </cell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F35">
            <v>0</v>
          </cell>
          <cell r="G35">
            <v>0</v>
          </cell>
          <cell r="H35">
            <v>4.7638842500000003</v>
          </cell>
          <cell r="I35">
            <v>0</v>
          </cell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F35">
            <v>0</v>
          </cell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F36">
            <v>0</v>
          </cell>
          <cell r="G36">
            <v>0</v>
          </cell>
          <cell r="H36">
            <v>7.0265916000000006</v>
          </cell>
          <cell r="I36">
            <v>0</v>
          </cell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F36">
            <v>0</v>
          </cell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F37">
            <v>0</v>
          </cell>
          <cell r="G37">
            <v>0</v>
          </cell>
          <cell r="H37">
            <v>0.97962117999999987</v>
          </cell>
          <cell r="I37">
            <v>0</v>
          </cell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F37">
            <v>0</v>
          </cell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F38">
            <v>0</v>
          </cell>
          <cell r="G38">
            <v>0</v>
          </cell>
          <cell r="H38">
            <v>9.6742689999999992E-2</v>
          </cell>
          <cell r="I38">
            <v>0</v>
          </cell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F38">
            <v>0</v>
          </cell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F39">
            <v>0</v>
          </cell>
          <cell r="G39">
            <v>0</v>
          </cell>
          <cell r="H39">
            <v>0.28165667</v>
          </cell>
          <cell r="I39">
            <v>0</v>
          </cell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F39">
            <v>0</v>
          </cell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F40">
            <v>0</v>
          </cell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F41">
            <v>0</v>
          </cell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F42">
            <v>0</v>
          </cell>
          <cell r="G42">
            <v>0</v>
          </cell>
          <cell r="H42">
            <v>50.443397219999994</v>
          </cell>
          <cell r="I42">
            <v>0</v>
          </cell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F42">
            <v>0</v>
          </cell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F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F44">
            <v>0</v>
          </cell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F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F46">
            <v>0</v>
          </cell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F47">
            <v>0</v>
          </cell>
          <cell r="G47">
            <v>0</v>
          </cell>
          <cell r="H47">
            <v>0.71055469999999987</v>
          </cell>
          <cell r="I47">
            <v>0</v>
          </cell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F47">
            <v>0</v>
          </cell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F48">
            <v>0</v>
          </cell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F49">
            <v>0</v>
          </cell>
          <cell r="G49">
            <v>0</v>
          </cell>
          <cell r="H49">
            <v>0.71055469999999987</v>
          </cell>
          <cell r="I49">
            <v>0</v>
          </cell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F49">
            <v>0</v>
          </cell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F50">
            <v>0</v>
          </cell>
          <cell r="G50">
            <v>0</v>
          </cell>
          <cell r="H50">
            <v>0.71055469999999987</v>
          </cell>
          <cell r="I50">
            <v>0</v>
          </cell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F50">
            <v>0</v>
          </cell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F51">
            <v>0</v>
          </cell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F52">
            <v>0</v>
          </cell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F53">
            <v>0</v>
          </cell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F54">
            <v>0</v>
          </cell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F55">
            <v>0</v>
          </cell>
          <cell r="G55">
            <v>0</v>
          </cell>
          <cell r="H55">
            <v>1.0397162328</v>
          </cell>
          <cell r="I55">
            <v>0</v>
          </cell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F55">
            <v>0</v>
          </cell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F56">
            <v>0</v>
          </cell>
          <cell r="G56">
            <v>0</v>
          </cell>
          <cell r="H56">
            <v>1.0397162328</v>
          </cell>
          <cell r="I56">
            <v>0</v>
          </cell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F56">
            <v>0</v>
          </cell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F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F58">
            <v>0</v>
          </cell>
          <cell r="G58">
            <v>0</v>
          </cell>
          <cell r="H58">
            <v>1.0397162328</v>
          </cell>
          <cell r="I58">
            <v>0</v>
          </cell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F58">
            <v>0</v>
          </cell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F59">
            <v>0</v>
          </cell>
          <cell r="G59">
            <v>0</v>
          </cell>
          <cell r="H59">
            <v>0.4654329874</v>
          </cell>
          <cell r="I59">
            <v>0</v>
          </cell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F59">
            <v>0</v>
          </cell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F60">
            <v>0</v>
          </cell>
          <cell r="G60">
            <v>0</v>
          </cell>
          <cell r="H60">
            <v>0.4654329874</v>
          </cell>
          <cell r="I60">
            <v>0</v>
          </cell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F60">
            <v>0</v>
          </cell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F61">
            <v>0</v>
          </cell>
          <cell r="G61">
            <v>0</v>
          </cell>
          <cell r="H61">
            <v>3.7630420799999995E-2</v>
          </cell>
          <cell r="I61">
            <v>0</v>
          </cell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F61">
            <v>0</v>
          </cell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F62">
            <v>0</v>
          </cell>
          <cell r="G62">
            <v>0</v>
          </cell>
          <cell r="H62">
            <v>7.1219837199999997E-2</v>
          </cell>
          <cell r="I62">
            <v>0</v>
          </cell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F62">
            <v>0</v>
          </cell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F63">
            <v>0</v>
          </cell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F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F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F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F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F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F69">
            <v>0</v>
          </cell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F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F71">
            <v>0</v>
          </cell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F72">
            <v>0</v>
          </cell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F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F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F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F76">
            <v>0</v>
          </cell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F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F78">
            <v>0</v>
          </cell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F79">
            <v>0</v>
          </cell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F80">
            <v>0</v>
          </cell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F81">
            <v>0</v>
          </cell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F82">
            <v>0</v>
          </cell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F83">
            <v>0</v>
          </cell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F84">
            <v>0</v>
          </cell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F85">
            <v>0</v>
          </cell>
          <cell r="G85">
            <v>0</v>
          </cell>
          <cell r="H85">
            <v>681.33265381399997</v>
          </cell>
          <cell r="I85">
            <v>0</v>
          </cell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F85">
            <v>0</v>
          </cell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F86">
            <v>0</v>
          </cell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F87">
            <v>0</v>
          </cell>
          <cell r="G87">
            <v>0</v>
          </cell>
          <cell r="H87">
            <v>9.9500000000000005E-2</v>
          </cell>
          <cell r="I87">
            <v>0</v>
          </cell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F87">
            <v>0</v>
          </cell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F88">
            <v>0</v>
          </cell>
          <cell r="G88">
            <v>0</v>
          </cell>
          <cell r="H88">
            <v>74.025306980999986</v>
          </cell>
          <cell r="I88">
            <v>0</v>
          </cell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F88">
            <v>0</v>
          </cell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F89">
            <v>0</v>
          </cell>
          <cell r="G89">
            <v>0</v>
          </cell>
          <cell r="H89">
            <v>349.75487930600002</v>
          </cell>
          <cell r="I89">
            <v>0</v>
          </cell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F90">
            <v>0</v>
          </cell>
          <cell r="G90">
            <v>0</v>
          </cell>
          <cell r="H90">
            <v>70.274528279999998</v>
          </cell>
          <cell r="I90">
            <v>0</v>
          </cell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F90">
            <v>0</v>
          </cell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F91">
            <v>0</v>
          </cell>
          <cell r="G91">
            <v>0</v>
          </cell>
          <cell r="H91">
            <v>185.68207825000002</v>
          </cell>
          <cell r="I91">
            <v>0</v>
          </cell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F91">
            <v>0</v>
          </cell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F92">
            <v>0</v>
          </cell>
          <cell r="G92">
            <v>0</v>
          </cell>
          <cell r="H92">
            <v>1.496360997</v>
          </cell>
          <cell r="I92">
            <v>0</v>
          </cell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F92">
            <v>0</v>
          </cell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F93">
            <v>0</v>
          </cell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F94">
            <v>0</v>
          </cell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H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DN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L95">
            <v>0</v>
          </cell>
          <cell r="OM95">
            <v>0</v>
          </cell>
          <cell r="ON95">
            <v>0</v>
          </cell>
          <cell r="OO95">
            <v>0</v>
          </cell>
          <cell r="OP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H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DN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L96">
            <v>0</v>
          </cell>
          <cell r="OM96">
            <v>0</v>
          </cell>
          <cell r="ON96">
            <v>0</v>
          </cell>
          <cell r="OO96">
            <v>0</v>
          </cell>
          <cell r="OP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H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DN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L97">
            <v>0</v>
          </cell>
          <cell r="OM97">
            <v>0</v>
          </cell>
          <cell r="ON97">
            <v>0</v>
          </cell>
          <cell r="OO97">
            <v>0</v>
          </cell>
          <cell r="OP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H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DN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IY98">
            <v>0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L98">
            <v>0</v>
          </cell>
          <cell r="OM98">
            <v>0</v>
          </cell>
          <cell r="ON98">
            <v>0</v>
          </cell>
          <cell r="OO98">
            <v>0</v>
          </cell>
          <cell r="OP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H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DN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L99">
            <v>0</v>
          </cell>
          <cell r="OM99">
            <v>0</v>
          </cell>
          <cell r="ON99">
            <v>0</v>
          </cell>
          <cell r="OO99">
            <v>0</v>
          </cell>
          <cell r="OP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H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DN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L100">
            <v>0</v>
          </cell>
          <cell r="OM100">
            <v>0</v>
          </cell>
          <cell r="ON100">
            <v>0</v>
          </cell>
          <cell r="OO100">
            <v>0</v>
          </cell>
          <cell r="OP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H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DN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L101">
            <v>0</v>
          </cell>
          <cell r="OM101">
            <v>0</v>
          </cell>
          <cell r="ON101">
            <v>0</v>
          </cell>
          <cell r="OO101">
            <v>0</v>
          </cell>
          <cell r="OP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H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DN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L102">
            <v>0</v>
          </cell>
          <cell r="OM102">
            <v>0</v>
          </cell>
          <cell r="ON102">
            <v>0</v>
          </cell>
          <cell r="OO102">
            <v>0</v>
          </cell>
          <cell r="OP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H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DN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L103">
            <v>0</v>
          </cell>
          <cell r="OM103">
            <v>0</v>
          </cell>
          <cell r="ON103">
            <v>0</v>
          </cell>
          <cell r="OO103">
            <v>0</v>
          </cell>
          <cell r="OP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H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DN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L104">
            <v>0</v>
          </cell>
          <cell r="OM104">
            <v>0</v>
          </cell>
          <cell r="ON104">
            <v>0</v>
          </cell>
          <cell r="OO104">
            <v>0</v>
          </cell>
          <cell r="OP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H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DN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L105">
            <v>0</v>
          </cell>
          <cell r="OM105">
            <v>0</v>
          </cell>
          <cell r="ON105">
            <v>0</v>
          </cell>
          <cell r="OO105">
            <v>0</v>
          </cell>
          <cell r="OP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H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DN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L106">
            <v>0</v>
          </cell>
          <cell r="OM106">
            <v>0</v>
          </cell>
          <cell r="ON106">
            <v>0</v>
          </cell>
          <cell r="OO106">
            <v>0</v>
          </cell>
          <cell r="OP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H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DN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L107">
            <v>0</v>
          </cell>
          <cell r="OM107">
            <v>0</v>
          </cell>
          <cell r="ON107">
            <v>0</v>
          </cell>
          <cell r="OO107">
            <v>0</v>
          </cell>
          <cell r="OP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H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DN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L108">
            <v>0</v>
          </cell>
          <cell r="OM108">
            <v>0</v>
          </cell>
          <cell r="ON108">
            <v>0</v>
          </cell>
          <cell r="OO108">
            <v>0</v>
          </cell>
          <cell r="OP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H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DN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L109">
            <v>0</v>
          </cell>
          <cell r="OM109">
            <v>0</v>
          </cell>
          <cell r="ON109">
            <v>0</v>
          </cell>
          <cell r="OO109">
            <v>0</v>
          </cell>
          <cell r="OP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H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DN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L110">
            <v>0</v>
          </cell>
          <cell r="OM110">
            <v>0</v>
          </cell>
          <cell r="ON110">
            <v>0</v>
          </cell>
          <cell r="OO110">
            <v>0</v>
          </cell>
          <cell r="OP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H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DN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L111">
            <v>0</v>
          </cell>
          <cell r="OM111">
            <v>0</v>
          </cell>
          <cell r="ON111">
            <v>0</v>
          </cell>
          <cell r="OO111">
            <v>0</v>
          </cell>
          <cell r="OP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H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DN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L112">
            <v>0</v>
          </cell>
          <cell r="OM112">
            <v>0</v>
          </cell>
          <cell r="ON112">
            <v>0</v>
          </cell>
          <cell r="OO112">
            <v>0</v>
          </cell>
          <cell r="OP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H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DN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L113">
            <v>0</v>
          </cell>
          <cell r="OM113">
            <v>0</v>
          </cell>
          <cell r="ON113">
            <v>0</v>
          </cell>
          <cell r="OO113">
            <v>0</v>
          </cell>
          <cell r="OP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H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DN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L114">
            <v>0</v>
          </cell>
          <cell r="OM114">
            <v>0</v>
          </cell>
          <cell r="ON114">
            <v>0</v>
          </cell>
          <cell r="OO114">
            <v>0</v>
          </cell>
          <cell r="OP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H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DN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L115">
            <v>0</v>
          </cell>
          <cell r="OM115">
            <v>0</v>
          </cell>
          <cell r="ON115">
            <v>0</v>
          </cell>
          <cell r="OO115">
            <v>0</v>
          </cell>
          <cell r="OP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H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DN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IY116">
            <v>0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L116">
            <v>0</v>
          </cell>
          <cell r="OM116">
            <v>0</v>
          </cell>
          <cell r="ON116">
            <v>0</v>
          </cell>
          <cell r="OO116">
            <v>0</v>
          </cell>
          <cell r="OP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H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DN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IY117">
            <v>0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L117">
            <v>0</v>
          </cell>
          <cell r="OM117">
            <v>0</v>
          </cell>
          <cell r="ON117">
            <v>0</v>
          </cell>
          <cell r="OO117">
            <v>0</v>
          </cell>
          <cell r="OP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H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DN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L118">
            <v>0</v>
          </cell>
          <cell r="OM118">
            <v>0</v>
          </cell>
          <cell r="ON118">
            <v>0</v>
          </cell>
          <cell r="OO118">
            <v>0</v>
          </cell>
          <cell r="OP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H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DN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L119">
            <v>0</v>
          </cell>
          <cell r="OM119">
            <v>0</v>
          </cell>
          <cell r="ON119">
            <v>0</v>
          </cell>
          <cell r="OO119">
            <v>0</v>
          </cell>
          <cell r="OP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H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DN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IY120">
            <v>0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L120">
            <v>0</v>
          </cell>
          <cell r="OM120">
            <v>0</v>
          </cell>
          <cell r="ON120">
            <v>0</v>
          </cell>
          <cell r="OO120">
            <v>0</v>
          </cell>
          <cell r="OP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H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DN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IY121">
            <v>0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L121">
            <v>0</v>
          </cell>
          <cell r="OM121">
            <v>0</v>
          </cell>
          <cell r="ON121">
            <v>0</v>
          </cell>
          <cell r="OO121">
            <v>0</v>
          </cell>
          <cell r="OP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H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DN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L122">
            <v>0</v>
          </cell>
          <cell r="OM122">
            <v>0</v>
          </cell>
          <cell r="ON122">
            <v>0</v>
          </cell>
          <cell r="OO122">
            <v>0</v>
          </cell>
          <cell r="OP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H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DN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L123">
            <v>0</v>
          </cell>
          <cell r="OM123">
            <v>0</v>
          </cell>
          <cell r="ON123">
            <v>0</v>
          </cell>
          <cell r="OO123">
            <v>0</v>
          </cell>
          <cell r="OP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H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DN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L124">
            <v>0</v>
          </cell>
          <cell r="OM124">
            <v>0</v>
          </cell>
          <cell r="ON124">
            <v>0</v>
          </cell>
          <cell r="OO124">
            <v>0</v>
          </cell>
          <cell r="OP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H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DN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L125">
            <v>0</v>
          </cell>
          <cell r="OM125">
            <v>0</v>
          </cell>
          <cell r="ON125">
            <v>0</v>
          </cell>
          <cell r="OO125">
            <v>0</v>
          </cell>
          <cell r="OP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H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DN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L126">
            <v>0</v>
          </cell>
          <cell r="OM126">
            <v>0</v>
          </cell>
          <cell r="ON126">
            <v>0</v>
          </cell>
          <cell r="OO126">
            <v>0</v>
          </cell>
          <cell r="OP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H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DN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L127">
            <v>0</v>
          </cell>
          <cell r="OM127">
            <v>0</v>
          </cell>
          <cell r="ON127">
            <v>0</v>
          </cell>
          <cell r="OO127">
            <v>0</v>
          </cell>
          <cell r="OP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H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DN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L128">
            <v>0</v>
          </cell>
          <cell r="OM128">
            <v>0</v>
          </cell>
          <cell r="ON128">
            <v>0</v>
          </cell>
          <cell r="OO128">
            <v>0</v>
          </cell>
          <cell r="OP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H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DN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IY129">
            <v>0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L129">
            <v>0</v>
          </cell>
          <cell r="OM129">
            <v>0</v>
          </cell>
          <cell r="ON129">
            <v>0</v>
          </cell>
          <cell r="OO129">
            <v>0</v>
          </cell>
          <cell r="OP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H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DN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IY130">
            <v>0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L130">
            <v>0</v>
          </cell>
          <cell r="OM130">
            <v>0</v>
          </cell>
          <cell r="ON130">
            <v>0</v>
          </cell>
          <cell r="OO130">
            <v>0</v>
          </cell>
          <cell r="OP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H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DN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L131">
            <v>0</v>
          </cell>
          <cell r="OM131">
            <v>0</v>
          </cell>
          <cell r="ON131">
            <v>0</v>
          </cell>
          <cell r="OO131">
            <v>0</v>
          </cell>
          <cell r="OP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H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DN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L132">
            <v>0</v>
          </cell>
          <cell r="OM132">
            <v>0</v>
          </cell>
          <cell r="ON132">
            <v>0</v>
          </cell>
          <cell r="OO132">
            <v>0</v>
          </cell>
          <cell r="OP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H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DN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L133">
            <v>0</v>
          </cell>
          <cell r="OM133">
            <v>0</v>
          </cell>
          <cell r="ON133">
            <v>0</v>
          </cell>
          <cell r="OO133">
            <v>0</v>
          </cell>
          <cell r="OP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H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DN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L134">
            <v>0</v>
          </cell>
          <cell r="OM134">
            <v>0</v>
          </cell>
          <cell r="ON134">
            <v>0</v>
          </cell>
          <cell r="OO134">
            <v>0</v>
          </cell>
          <cell r="OP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H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DN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L135">
            <v>0</v>
          </cell>
          <cell r="OM135">
            <v>0</v>
          </cell>
          <cell r="ON135">
            <v>0</v>
          </cell>
          <cell r="OO135">
            <v>0</v>
          </cell>
          <cell r="OP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H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DN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L136">
            <v>0</v>
          </cell>
          <cell r="OM136">
            <v>0</v>
          </cell>
          <cell r="ON136">
            <v>0</v>
          </cell>
          <cell r="OO136">
            <v>0</v>
          </cell>
          <cell r="OP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H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DN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L137">
            <v>0</v>
          </cell>
          <cell r="OM137">
            <v>0</v>
          </cell>
          <cell r="ON137">
            <v>0</v>
          </cell>
          <cell r="OO137">
            <v>0</v>
          </cell>
          <cell r="OP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H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DN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L138">
            <v>0</v>
          </cell>
          <cell r="OM138">
            <v>0</v>
          </cell>
          <cell r="ON138">
            <v>0</v>
          </cell>
          <cell r="OO138">
            <v>0</v>
          </cell>
          <cell r="OP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H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DN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L139">
            <v>0</v>
          </cell>
          <cell r="OM139">
            <v>0</v>
          </cell>
          <cell r="ON139">
            <v>0</v>
          </cell>
          <cell r="OO139">
            <v>0</v>
          </cell>
          <cell r="OP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H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DN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L140">
            <v>0</v>
          </cell>
          <cell r="OM140">
            <v>0</v>
          </cell>
          <cell r="ON140">
            <v>0</v>
          </cell>
          <cell r="OO140">
            <v>0</v>
          </cell>
          <cell r="OP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H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DN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L141">
            <v>0</v>
          </cell>
          <cell r="OM141">
            <v>0</v>
          </cell>
          <cell r="ON141">
            <v>0</v>
          </cell>
          <cell r="OO141">
            <v>0</v>
          </cell>
          <cell r="OP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H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DN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L142">
            <v>0</v>
          </cell>
          <cell r="OM142">
            <v>0</v>
          </cell>
          <cell r="ON142">
            <v>0</v>
          </cell>
          <cell r="OO142">
            <v>0</v>
          </cell>
          <cell r="OP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H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DN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L143">
            <v>0</v>
          </cell>
          <cell r="OM143">
            <v>0</v>
          </cell>
          <cell r="ON143">
            <v>0</v>
          </cell>
          <cell r="OO143">
            <v>0</v>
          </cell>
          <cell r="OP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H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DN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L144">
            <v>0</v>
          </cell>
          <cell r="OM144">
            <v>0</v>
          </cell>
          <cell r="ON144">
            <v>0</v>
          </cell>
          <cell r="OO144">
            <v>0</v>
          </cell>
          <cell r="OP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H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DN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L145">
            <v>0</v>
          </cell>
          <cell r="OM145">
            <v>0</v>
          </cell>
          <cell r="ON145">
            <v>0</v>
          </cell>
          <cell r="OO145">
            <v>0</v>
          </cell>
          <cell r="OP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H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DN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L146">
            <v>0</v>
          </cell>
          <cell r="OM146">
            <v>0</v>
          </cell>
          <cell r="ON146">
            <v>0</v>
          </cell>
          <cell r="OO146">
            <v>0</v>
          </cell>
          <cell r="OP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H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DN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L147">
            <v>0</v>
          </cell>
          <cell r="OM147">
            <v>0</v>
          </cell>
          <cell r="ON147">
            <v>0</v>
          </cell>
          <cell r="OO147">
            <v>0</v>
          </cell>
          <cell r="OP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H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DN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L148">
            <v>0</v>
          </cell>
          <cell r="OM148">
            <v>0</v>
          </cell>
          <cell r="ON148">
            <v>0</v>
          </cell>
          <cell r="OO148">
            <v>0</v>
          </cell>
          <cell r="OP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H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DN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L149">
            <v>0</v>
          </cell>
          <cell r="OM149">
            <v>0</v>
          </cell>
          <cell r="ON149">
            <v>0</v>
          </cell>
          <cell r="OO149">
            <v>0</v>
          </cell>
          <cell r="OP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H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DN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L150">
            <v>0</v>
          </cell>
          <cell r="OM150">
            <v>0</v>
          </cell>
          <cell r="ON150">
            <v>0</v>
          </cell>
          <cell r="OO150">
            <v>0</v>
          </cell>
          <cell r="OP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H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DN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L151">
            <v>0</v>
          </cell>
          <cell r="OM151">
            <v>0</v>
          </cell>
          <cell r="ON151">
            <v>0</v>
          </cell>
          <cell r="OO151">
            <v>0</v>
          </cell>
          <cell r="OP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H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DN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L152">
            <v>0</v>
          </cell>
          <cell r="OM152">
            <v>0</v>
          </cell>
          <cell r="ON152">
            <v>0</v>
          </cell>
          <cell r="OO152">
            <v>0</v>
          </cell>
          <cell r="OP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H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DN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L153">
            <v>0</v>
          </cell>
          <cell r="OM153">
            <v>0</v>
          </cell>
          <cell r="ON153">
            <v>0</v>
          </cell>
          <cell r="OO153">
            <v>0</v>
          </cell>
          <cell r="OP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H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DN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L154">
            <v>0</v>
          </cell>
          <cell r="OM154">
            <v>0</v>
          </cell>
          <cell r="ON154">
            <v>0</v>
          </cell>
          <cell r="OO154">
            <v>0</v>
          </cell>
          <cell r="OP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H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DN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L155">
            <v>0</v>
          </cell>
          <cell r="OM155">
            <v>0</v>
          </cell>
          <cell r="ON155">
            <v>0</v>
          </cell>
          <cell r="OO155">
            <v>0</v>
          </cell>
          <cell r="OP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H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DN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L156">
            <v>0</v>
          </cell>
          <cell r="OM156">
            <v>0</v>
          </cell>
          <cell r="ON156">
            <v>0</v>
          </cell>
          <cell r="OO156">
            <v>0</v>
          </cell>
          <cell r="OP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H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DN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L157">
            <v>0</v>
          </cell>
          <cell r="OM157">
            <v>0</v>
          </cell>
          <cell r="ON157">
            <v>0</v>
          </cell>
          <cell r="OO157">
            <v>0</v>
          </cell>
          <cell r="OP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H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DN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L158">
            <v>0</v>
          </cell>
          <cell r="OM158">
            <v>0</v>
          </cell>
          <cell r="ON158">
            <v>0</v>
          </cell>
          <cell r="OO158">
            <v>0</v>
          </cell>
          <cell r="OP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H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DN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L159">
            <v>0</v>
          </cell>
          <cell r="OM159">
            <v>0</v>
          </cell>
          <cell r="ON159">
            <v>0</v>
          </cell>
          <cell r="OO159">
            <v>0</v>
          </cell>
          <cell r="OP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H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DN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L160">
            <v>0</v>
          </cell>
          <cell r="OM160">
            <v>0</v>
          </cell>
          <cell r="ON160">
            <v>0</v>
          </cell>
          <cell r="OO160">
            <v>0</v>
          </cell>
          <cell r="OP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H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DN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L161">
            <v>0</v>
          </cell>
          <cell r="OM161">
            <v>0</v>
          </cell>
          <cell r="ON161">
            <v>0</v>
          </cell>
          <cell r="OO161">
            <v>0</v>
          </cell>
          <cell r="OP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H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DN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L162">
            <v>0</v>
          </cell>
          <cell r="OM162">
            <v>0</v>
          </cell>
          <cell r="ON162">
            <v>0</v>
          </cell>
          <cell r="OO162">
            <v>0</v>
          </cell>
          <cell r="OP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H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DN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L163">
            <v>0</v>
          </cell>
          <cell r="OM163">
            <v>0</v>
          </cell>
          <cell r="ON163">
            <v>0</v>
          </cell>
          <cell r="OO163">
            <v>0</v>
          </cell>
          <cell r="OP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H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DN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L164">
            <v>0</v>
          </cell>
          <cell r="OM164">
            <v>0</v>
          </cell>
          <cell r="ON164">
            <v>0</v>
          </cell>
          <cell r="OO164">
            <v>0</v>
          </cell>
          <cell r="OP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H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DN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L165">
            <v>0</v>
          </cell>
          <cell r="OM165">
            <v>0</v>
          </cell>
          <cell r="ON165">
            <v>0</v>
          </cell>
          <cell r="OO165">
            <v>0</v>
          </cell>
          <cell r="OP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H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L166">
            <v>0</v>
          </cell>
          <cell r="OM166">
            <v>0</v>
          </cell>
          <cell r="ON166">
            <v>0</v>
          </cell>
          <cell r="OO166">
            <v>0</v>
          </cell>
          <cell r="OP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H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L167">
            <v>0</v>
          </cell>
          <cell r="OM167">
            <v>0</v>
          </cell>
          <cell r="ON167">
            <v>0</v>
          </cell>
          <cell r="OO167">
            <v>0</v>
          </cell>
          <cell r="OP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H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L168">
            <v>0</v>
          </cell>
          <cell r="OM168">
            <v>0</v>
          </cell>
          <cell r="ON168">
            <v>0</v>
          </cell>
          <cell r="OO168">
            <v>0</v>
          </cell>
          <cell r="OP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H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L169">
            <v>0</v>
          </cell>
          <cell r="OM169">
            <v>0</v>
          </cell>
          <cell r="ON169">
            <v>0</v>
          </cell>
          <cell r="OO169">
            <v>0</v>
          </cell>
          <cell r="OP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H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L170">
            <v>0</v>
          </cell>
          <cell r="OM170">
            <v>0</v>
          </cell>
          <cell r="ON170">
            <v>0</v>
          </cell>
          <cell r="OO170">
            <v>0</v>
          </cell>
          <cell r="OP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H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DN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MC171">
            <v>0</v>
          </cell>
          <cell r="MD171">
            <v>0</v>
          </cell>
          <cell r="ME171">
            <v>0</v>
          </cell>
          <cell r="MF171">
            <v>0</v>
          </cell>
          <cell r="MG171">
            <v>0</v>
          </cell>
          <cell r="MH171">
            <v>0</v>
          </cell>
          <cell r="MI171">
            <v>0</v>
          </cell>
          <cell r="MJ171">
            <v>0</v>
          </cell>
          <cell r="MK171">
            <v>0</v>
          </cell>
          <cell r="ML171">
            <v>0</v>
          </cell>
          <cell r="MM171">
            <v>0</v>
          </cell>
          <cell r="MN171">
            <v>0</v>
          </cell>
          <cell r="MO171">
            <v>0</v>
          </cell>
          <cell r="MP171">
            <v>0</v>
          </cell>
          <cell r="MQ171">
            <v>0</v>
          </cell>
          <cell r="MR171">
            <v>0</v>
          </cell>
          <cell r="MS171">
            <v>0</v>
          </cell>
          <cell r="MT171">
            <v>0</v>
          </cell>
          <cell r="MU171">
            <v>0</v>
          </cell>
          <cell r="MV171">
            <v>0</v>
          </cell>
          <cell r="MW171">
            <v>0</v>
          </cell>
          <cell r="MX171">
            <v>0</v>
          </cell>
          <cell r="MY171">
            <v>0</v>
          </cell>
          <cell r="MZ171">
            <v>0</v>
          </cell>
          <cell r="NA171">
            <v>0</v>
          </cell>
          <cell r="NG171">
            <v>0</v>
          </cell>
          <cell r="NH171">
            <v>0</v>
          </cell>
          <cell r="NI171">
            <v>0</v>
          </cell>
          <cell r="NJ171">
            <v>0</v>
          </cell>
          <cell r="NK171">
            <v>0</v>
          </cell>
          <cell r="NL171">
            <v>0</v>
          </cell>
          <cell r="NM171">
            <v>0</v>
          </cell>
          <cell r="NN171">
            <v>0</v>
          </cell>
          <cell r="NO171">
            <v>0</v>
          </cell>
          <cell r="NP171">
            <v>0</v>
          </cell>
          <cell r="NQ171">
            <v>0</v>
          </cell>
          <cell r="NR171">
            <v>0</v>
          </cell>
          <cell r="NS171">
            <v>0</v>
          </cell>
          <cell r="NT171">
            <v>0</v>
          </cell>
          <cell r="NU171">
            <v>0</v>
          </cell>
          <cell r="NV171">
            <v>0</v>
          </cell>
          <cell r="NW171">
            <v>0</v>
          </cell>
          <cell r="NX171">
            <v>0</v>
          </cell>
          <cell r="NY171">
            <v>0</v>
          </cell>
          <cell r="NZ171">
            <v>0</v>
          </cell>
          <cell r="OA171">
            <v>0</v>
          </cell>
          <cell r="OB171">
            <v>0</v>
          </cell>
          <cell r="OC171">
            <v>0</v>
          </cell>
          <cell r="OD171">
            <v>0</v>
          </cell>
          <cell r="OE171">
            <v>0</v>
          </cell>
          <cell r="OL171">
            <v>0</v>
          </cell>
          <cell r="OM171">
            <v>0</v>
          </cell>
          <cell r="ON171">
            <v>0</v>
          </cell>
          <cell r="OO171">
            <v>0</v>
          </cell>
          <cell r="OP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H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DN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MC172">
            <v>0</v>
          </cell>
          <cell r="MD172">
            <v>0</v>
          </cell>
          <cell r="ME172">
            <v>0</v>
          </cell>
          <cell r="MF172">
            <v>0</v>
          </cell>
          <cell r="MG172">
            <v>0</v>
          </cell>
          <cell r="MH172">
            <v>0</v>
          </cell>
          <cell r="MI172">
            <v>0</v>
          </cell>
          <cell r="MJ172">
            <v>0</v>
          </cell>
          <cell r="MK172">
            <v>0</v>
          </cell>
          <cell r="ML172">
            <v>0</v>
          </cell>
          <cell r="MM172">
            <v>0</v>
          </cell>
          <cell r="MN172">
            <v>0</v>
          </cell>
          <cell r="MO172">
            <v>0</v>
          </cell>
          <cell r="MP172">
            <v>0</v>
          </cell>
          <cell r="MQ172">
            <v>0</v>
          </cell>
          <cell r="MR172">
            <v>0</v>
          </cell>
          <cell r="MS172">
            <v>0</v>
          </cell>
          <cell r="MT172">
            <v>0</v>
          </cell>
          <cell r="MU172">
            <v>0</v>
          </cell>
          <cell r="MV172">
            <v>0</v>
          </cell>
          <cell r="MW172">
            <v>0</v>
          </cell>
          <cell r="MX172">
            <v>0</v>
          </cell>
          <cell r="MY172">
            <v>0</v>
          </cell>
          <cell r="MZ172">
            <v>0</v>
          </cell>
          <cell r="NA172">
            <v>0</v>
          </cell>
          <cell r="NG172">
            <v>0</v>
          </cell>
          <cell r="NH172">
            <v>0</v>
          </cell>
          <cell r="NI172">
            <v>0</v>
          </cell>
          <cell r="NJ172">
            <v>0</v>
          </cell>
          <cell r="NK172">
            <v>0</v>
          </cell>
          <cell r="NL172">
            <v>0</v>
          </cell>
          <cell r="NM172">
            <v>0</v>
          </cell>
          <cell r="NN172">
            <v>0</v>
          </cell>
          <cell r="NO172">
            <v>0</v>
          </cell>
          <cell r="NP172">
            <v>0</v>
          </cell>
          <cell r="NQ172">
            <v>0</v>
          </cell>
          <cell r="NR172">
            <v>0</v>
          </cell>
          <cell r="NS172">
            <v>0</v>
          </cell>
          <cell r="NT172">
            <v>0</v>
          </cell>
          <cell r="NU172">
            <v>0</v>
          </cell>
          <cell r="NV172">
            <v>0</v>
          </cell>
          <cell r="NW172">
            <v>0</v>
          </cell>
          <cell r="NX172">
            <v>0</v>
          </cell>
          <cell r="NY172">
            <v>0</v>
          </cell>
          <cell r="NZ172">
            <v>0</v>
          </cell>
          <cell r="OA172">
            <v>0</v>
          </cell>
          <cell r="OB172">
            <v>0</v>
          </cell>
          <cell r="OC172">
            <v>0</v>
          </cell>
          <cell r="OD172">
            <v>0</v>
          </cell>
          <cell r="OE172">
            <v>0</v>
          </cell>
          <cell r="OL172">
            <v>0</v>
          </cell>
          <cell r="OM172">
            <v>0</v>
          </cell>
          <cell r="ON172">
            <v>0</v>
          </cell>
          <cell r="OO172">
            <v>0</v>
          </cell>
          <cell r="OP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H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DN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MC173">
            <v>0</v>
          </cell>
          <cell r="MD173">
            <v>0</v>
          </cell>
          <cell r="ME173">
            <v>0</v>
          </cell>
          <cell r="MF173">
            <v>0</v>
          </cell>
          <cell r="MG173">
            <v>0</v>
          </cell>
          <cell r="MH173">
            <v>0</v>
          </cell>
          <cell r="MI173">
            <v>0</v>
          </cell>
          <cell r="MJ173">
            <v>0</v>
          </cell>
          <cell r="MK173">
            <v>0</v>
          </cell>
          <cell r="ML173">
            <v>0</v>
          </cell>
          <cell r="MM173">
            <v>0</v>
          </cell>
          <cell r="MN173">
            <v>0</v>
          </cell>
          <cell r="MO173">
            <v>0</v>
          </cell>
          <cell r="MP173">
            <v>0</v>
          </cell>
          <cell r="MQ173">
            <v>0</v>
          </cell>
          <cell r="MR173">
            <v>0</v>
          </cell>
          <cell r="MS173">
            <v>0</v>
          </cell>
          <cell r="MT173">
            <v>0</v>
          </cell>
          <cell r="MU173">
            <v>0</v>
          </cell>
          <cell r="MV173">
            <v>0</v>
          </cell>
          <cell r="MW173">
            <v>0</v>
          </cell>
          <cell r="MX173">
            <v>0</v>
          </cell>
          <cell r="MY173">
            <v>0</v>
          </cell>
          <cell r="MZ173">
            <v>0</v>
          </cell>
          <cell r="NA173">
            <v>0</v>
          </cell>
          <cell r="NG173">
            <v>0</v>
          </cell>
          <cell r="NH173">
            <v>0</v>
          </cell>
          <cell r="NI173">
            <v>0</v>
          </cell>
          <cell r="NJ173">
            <v>0</v>
          </cell>
          <cell r="NK173">
            <v>0</v>
          </cell>
          <cell r="NL173">
            <v>0</v>
          </cell>
          <cell r="NM173">
            <v>0</v>
          </cell>
          <cell r="NN173">
            <v>0</v>
          </cell>
          <cell r="NO173">
            <v>0</v>
          </cell>
          <cell r="NP173">
            <v>0</v>
          </cell>
          <cell r="NQ173">
            <v>0</v>
          </cell>
          <cell r="NR173">
            <v>0</v>
          </cell>
          <cell r="NS173">
            <v>0</v>
          </cell>
          <cell r="NT173">
            <v>0</v>
          </cell>
          <cell r="NU173">
            <v>0</v>
          </cell>
          <cell r="NV173">
            <v>0</v>
          </cell>
          <cell r="NW173">
            <v>0</v>
          </cell>
          <cell r="NX173">
            <v>0</v>
          </cell>
          <cell r="NY173">
            <v>0</v>
          </cell>
          <cell r="NZ173">
            <v>0</v>
          </cell>
          <cell r="OA173">
            <v>0</v>
          </cell>
          <cell r="OB173">
            <v>0</v>
          </cell>
          <cell r="OC173">
            <v>0</v>
          </cell>
          <cell r="OD173">
            <v>0</v>
          </cell>
          <cell r="OE173">
            <v>0</v>
          </cell>
          <cell r="OL173">
            <v>0</v>
          </cell>
          <cell r="OM173">
            <v>0</v>
          </cell>
          <cell r="ON173">
            <v>0</v>
          </cell>
          <cell r="OO173">
            <v>0</v>
          </cell>
          <cell r="OP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H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DN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MC174">
            <v>0</v>
          </cell>
          <cell r="MD174">
            <v>0</v>
          </cell>
          <cell r="ME174">
            <v>0</v>
          </cell>
          <cell r="MF174">
            <v>0</v>
          </cell>
          <cell r="MG174">
            <v>0</v>
          </cell>
          <cell r="MH174">
            <v>0</v>
          </cell>
          <cell r="MI174">
            <v>0</v>
          </cell>
          <cell r="MJ174">
            <v>0</v>
          </cell>
          <cell r="MK174">
            <v>0</v>
          </cell>
          <cell r="ML174">
            <v>0</v>
          </cell>
          <cell r="MM174">
            <v>0</v>
          </cell>
          <cell r="MN174">
            <v>0</v>
          </cell>
          <cell r="MO174">
            <v>0</v>
          </cell>
          <cell r="MP174">
            <v>0</v>
          </cell>
          <cell r="MQ174">
            <v>0</v>
          </cell>
          <cell r="MR174">
            <v>0</v>
          </cell>
          <cell r="MS174">
            <v>0</v>
          </cell>
          <cell r="MT174">
            <v>0</v>
          </cell>
          <cell r="MU174">
            <v>0</v>
          </cell>
          <cell r="MV174">
            <v>0</v>
          </cell>
          <cell r="MW174">
            <v>0</v>
          </cell>
          <cell r="MX174">
            <v>0</v>
          </cell>
          <cell r="MY174">
            <v>0</v>
          </cell>
          <cell r="MZ174">
            <v>0</v>
          </cell>
          <cell r="NA174">
            <v>0</v>
          </cell>
          <cell r="NG174">
            <v>0</v>
          </cell>
          <cell r="NH174">
            <v>0</v>
          </cell>
          <cell r="NI174">
            <v>0</v>
          </cell>
          <cell r="NJ174">
            <v>0</v>
          </cell>
          <cell r="NK174">
            <v>0</v>
          </cell>
          <cell r="NL174">
            <v>0</v>
          </cell>
          <cell r="NM174">
            <v>0</v>
          </cell>
          <cell r="NN174">
            <v>0</v>
          </cell>
          <cell r="NO174">
            <v>0</v>
          </cell>
          <cell r="NP174">
            <v>0</v>
          </cell>
          <cell r="NQ174">
            <v>0</v>
          </cell>
          <cell r="NR174">
            <v>0</v>
          </cell>
          <cell r="NS174">
            <v>0</v>
          </cell>
          <cell r="NT174">
            <v>0</v>
          </cell>
          <cell r="NU174">
            <v>0</v>
          </cell>
          <cell r="NV174">
            <v>0</v>
          </cell>
          <cell r="NW174">
            <v>0</v>
          </cell>
          <cell r="NX174">
            <v>0</v>
          </cell>
          <cell r="NY174">
            <v>0</v>
          </cell>
          <cell r="NZ174">
            <v>0</v>
          </cell>
          <cell r="OA174">
            <v>0</v>
          </cell>
          <cell r="OB174">
            <v>0</v>
          </cell>
          <cell r="OC174">
            <v>0</v>
          </cell>
          <cell r="OD174">
            <v>0</v>
          </cell>
          <cell r="OE174">
            <v>0</v>
          </cell>
          <cell r="OL174">
            <v>0</v>
          </cell>
          <cell r="OM174">
            <v>0</v>
          </cell>
          <cell r="ON174">
            <v>0</v>
          </cell>
          <cell r="OO174">
            <v>0</v>
          </cell>
          <cell r="OP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H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DN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MC175">
            <v>0</v>
          </cell>
          <cell r="MD175">
            <v>0</v>
          </cell>
          <cell r="ME175">
            <v>0</v>
          </cell>
          <cell r="MF175">
            <v>0</v>
          </cell>
          <cell r="MG175">
            <v>0</v>
          </cell>
          <cell r="MH175">
            <v>0</v>
          </cell>
          <cell r="MI175">
            <v>0</v>
          </cell>
          <cell r="MJ175">
            <v>0</v>
          </cell>
          <cell r="MK175">
            <v>0</v>
          </cell>
          <cell r="ML175">
            <v>0</v>
          </cell>
          <cell r="MM175">
            <v>0</v>
          </cell>
          <cell r="MN175">
            <v>0</v>
          </cell>
          <cell r="MO175">
            <v>0</v>
          </cell>
          <cell r="MP175">
            <v>0</v>
          </cell>
          <cell r="MQ175">
            <v>0</v>
          </cell>
          <cell r="MR175">
            <v>0</v>
          </cell>
          <cell r="MS175">
            <v>0</v>
          </cell>
          <cell r="MT175">
            <v>0</v>
          </cell>
          <cell r="MU175">
            <v>0</v>
          </cell>
          <cell r="MV175">
            <v>0</v>
          </cell>
          <cell r="MW175">
            <v>0</v>
          </cell>
          <cell r="MX175">
            <v>0</v>
          </cell>
          <cell r="MY175">
            <v>0</v>
          </cell>
          <cell r="MZ175">
            <v>0</v>
          </cell>
          <cell r="NA175">
            <v>0</v>
          </cell>
          <cell r="NG175">
            <v>0</v>
          </cell>
          <cell r="NH175">
            <v>0</v>
          </cell>
          <cell r="NI175">
            <v>0</v>
          </cell>
          <cell r="NJ175">
            <v>0</v>
          </cell>
          <cell r="NK175">
            <v>0</v>
          </cell>
          <cell r="NL175">
            <v>0</v>
          </cell>
          <cell r="NM175">
            <v>0</v>
          </cell>
          <cell r="NN175">
            <v>0</v>
          </cell>
          <cell r="NO175">
            <v>0</v>
          </cell>
          <cell r="NP175">
            <v>0</v>
          </cell>
          <cell r="NQ175">
            <v>0</v>
          </cell>
          <cell r="NR175">
            <v>0</v>
          </cell>
          <cell r="NS175">
            <v>0</v>
          </cell>
          <cell r="NT175">
            <v>0</v>
          </cell>
          <cell r="NU175">
            <v>0</v>
          </cell>
          <cell r="NV175">
            <v>0</v>
          </cell>
          <cell r="NW175">
            <v>0</v>
          </cell>
          <cell r="NX175">
            <v>0</v>
          </cell>
          <cell r="NY175">
            <v>0</v>
          </cell>
          <cell r="NZ175">
            <v>0</v>
          </cell>
          <cell r="OA175">
            <v>0</v>
          </cell>
          <cell r="OB175">
            <v>0</v>
          </cell>
          <cell r="OC175">
            <v>0</v>
          </cell>
          <cell r="OD175">
            <v>0</v>
          </cell>
          <cell r="OE175">
            <v>0</v>
          </cell>
          <cell r="OL175">
            <v>0</v>
          </cell>
          <cell r="OM175">
            <v>0</v>
          </cell>
          <cell r="ON175">
            <v>0</v>
          </cell>
          <cell r="OO175">
            <v>0</v>
          </cell>
          <cell r="OP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H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DN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MC176">
            <v>0</v>
          </cell>
          <cell r="MD176">
            <v>0</v>
          </cell>
          <cell r="ME176">
            <v>0</v>
          </cell>
          <cell r="MF176">
            <v>0</v>
          </cell>
          <cell r="MG176">
            <v>0</v>
          </cell>
          <cell r="MH176">
            <v>0</v>
          </cell>
          <cell r="MI176">
            <v>0</v>
          </cell>
          <cell r="MJ176">
            <v>0</v>
          </cell>
          <cell r="MK176">
            <v>0</v>
          </cell>
          <cell r="ML176">
            <v>0</v>
          </cell>
          <cell r="MM176">
            <v>0</v>
          </cell>
          <cell r="MN176">
            <v>0</v>
          </cell>
          <cell r="MO176">
            <v>0</v>
          </cell>
          <cell r="MP176">
            <v>0</v>
          </cell>
          <cell r="MQ176">
            <v>0</v>
          </cell>
          <cell r="MR176">
            <v>0</v>
          </cell>
          <cell r="MS176">
            <v>0</v>
          </cell>
          <cell r="MT176">
            <v>0</v>
          </cell>
          <cell r="MU176">
            <v>0</v>
          </cell>
          <cell r="MV176">
            <v>0</v>
          </cell>
          <cell r="MW176">
            <v>0</v>
          </cell>
          <cell r="MX176">
            <v>0</v>
          </cell>
          <cell r="MY176">
            <v>0</v>
          </cell>
          <cell r="MZ176">
            <v>0</v>
          </cell>
          <cell r="NA176">
            <v>0</v>
          </cell>
          <cell r="NG176">
            <v>0</v>
          </cell>
          <cell r="NH176">
            <v>0</v>
          </cell>
          <cell r="NI176">
            <v>0</v>
          </cell>
          <cell r="NJ176">
            <v>0</v>
          </cell>
          <cell r="NK176">
            <v>0</v>
          </cell>
          <cell r="NL176">
            <v>0</v>
          </cell>
          <cell r="NM176">
            <v>0</v>
          </cell>
          <cell r="NN176">
            <v>0</v>
          </cell>
          <cell r="NO176">
            <v>0</v>
          </cell>
          <cell r="NP176">
            <v>0</v>
          </cell>
          <cell r="NQ176">
            <v>0</v>
          </cell>
          <cell r="NR176">
            <v>0</v>
          </cell>
          <cell r="NS176">
            <v>0</v>
          </cell>
          <cell r="NT176">
            <v>0</v>
          </cell>
          <cell r="NU176">
            <v>0</v>
          </cell>
          <cell r="NV176">
            <v>0</v>
          </cell>
          <cell r="NW176">
            <v>0</v>
          </cell>
          <cell r="NX176">
            <v>0</v>
          </cell>
          <cell r="NY176">
            <v>0</v>
          </cell>
          <cell r="NZ176">
            <v>0</v>
          </cell>
          <cell r="OA176">
            <v>0</v>
          </cell>
          <cell r="OB176">
            <v>0</v>
          </cell>
          <cell r="OC176">
            <v>0</v>
          </cell>
          <cell r="OD176">
            <v>0</v>
          </cell>
          <cell r="OE176">
            <v>0</v>
          </cell>
          <cell r="OL176">
            <v>0</v>
          </cell>
          <cell r="OM176">
            <v>0</v>
          </cell>
          <cell r="ON176">
            <v>0</v>
          </cell>
          <cell r="OO176">
            <v>0</v>
          </cell>
          <cell r="OP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H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DN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MC177">
            <v>0</v>
          </cell>
          <cell r="MD177">
            <v>0</v>
          </cell>
          <cell r="ME177">
            <v>0</v>
          </cell>
          <cell r="MF177">
            <v>0</v>
          </cell>
          <cell r="MG177">
            <v>0</v>
          </cell>
          <cell r="MH177">
            <v>0</v>
          </cell>
          <cell r="MI177">
            <v>0</v>
          </cell>
          <cell r="MJ177">
            <v>0</v>
          </cell>
          <cell r="MK177">
            <v>0</v>
          </cell>
          <cell r="ML177">
            <v>0</v>
          </cell>
          <cell r="MM177">
            <v>0</v>
          </cell>
          <cell r="MN177">
            <v>0</v>
          </cell>
          <cell r="MO177">
            <v>0</v>
          </cell>
          <cell r="MP177">
            <v>0</v>
          </cell>
          <cell r="MQ177">
            <v>0</v>
          </cell>
          <cell r="MR177">
            <v>0</v>
          </cell>
          <cell r="MS177">
            <v>0</v>
          </cell>
          <cell r="MT177">
            <v>0</v>
          </cell>
          <cell r="MU177">
            <v>0</v>
          </cell>
          <cell r="MV177">
            <v>0</v>
          </cell>
          <cell r="MW177">
            <v>0</v>
          </cell>
          <cell r="MX177">
            <v>0</v>
          </cell>
          <cell r="MY177">
            <v>0</v>
          </cell>
          <cell r="MZ177">
            <v>0</v>
          </cell>
          <cell r="NA177">
            <v>0</v>
          </cell>
          <cell r="NG177">
            <v>0</v>
          </cell>
          <cell r="NH177">
            <v>0</v>
          </cell>
          <cell r="NI177">
            <v>0</v>
          </cell>
          <cell r="NJ177">
            <v>0</v>
          </cell>
          <cell r="NK177">
            <v>0</v>
          </cell>
          <cell r="NL177">
            <v>0</v>
          </cell>
          <cell r="NM177">
            <v>0</v>
          </cell>
          <cell r="NN177">
            <v>0</v>
          </cell>
          <cell r="NO177">
            <v>0</v>
          </cell>
          <cell r="NP177">
            <v>0</v>
          </cell>
          <cell r="NQ177">
            <v>0</v>
          </cell>
          <cell r="NR177">
            <v>0</v>
          </cell>
          <cell r="NS177">
            <v>0</v>
          </cell>
          <cell r="NT177">
            <v>0</v>
          </cell>
          <cell r="NU177">
            <v>0</v>
          </cell>
          <cell r="NV177">
            <v>0</v>
          </cell>
          <cell r="NW177">
            <v>0</v>
          </cell>
          <cell r="NX177">
            <v>0</v>
          </cell>
          <cell r="NY177">
            <v>0</v>
          </cell>
          <cell r="NZ177">
            <v>0</v>
          </cell>
          <cell r="OA177">
            <v>0</v>
          </cell>
          <cell r="OB177">
            <v>0</v>
          </cell>
          <cell r="OC177">
            <v>0</v>
          </cell>
          <cell r="OD177">
            <v>0</v>
          </cell>
          <cell r="OE177">
            <v>0</v>
          </cell>
          <cell r="OL177">
            <v>0</v>
          </cell>
          <cell r="OM177">
            <v>0</v>
          </cell>
          <cell r="ON177">
            <v>0</v>
          </cell>
          <cell r="OO177">
            <v>0</v>
          </cell>
          <cell r="OP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H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DN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MC178">
            <v>0</v>
          </cell>
          <cell r="MD178">
            <v>0</v>
          </cell>
          <cell r="ME178">
            <v>0</v>
          </cell>
          <cell r="MF178">
            <v>0</v>
          </cell>
          <cell r="MG178">
            <v>0</v>
          </cell>
          <cell r="MH178">
            <v>0</v>
          </cell>
          <cell r="MI178">
            <v>0</v>
          </cell>
          <cell r="MJ178">
            <v>0</v>
          </cell>
          <cell r="MK178">
            <v>0</v>
          </cell>
          <cell r="ML178">
            <v>0</v>
          </cell>
          <cell r="MM178">
            <v>0</v>
          </cell>
          <cell r="MN178">
            <v>0</v>
          </cell>
          <cell r="MO178">
            <v>0</v>
          </cell>
          <cell r="MP178">
            <v>0</v>
          </cell>
          <cell r="MQ178">
            <v>0</v>
          </cell>
          <cell r="MR178">
            <v>0</v>
          </cell>
          <cell r="MS178">
            <v>0</v>
          </cell>
          <cell r="MT178">
            <v>0</v>
          </cell>
          <cell r="MU178">
            <v>0</v>
          </cell>
          <cell r="MV178">
            <v>0</v>
          </cell>
          <cell r="MW178">
            <v>0</v>
          </cell>
          <cell r="MX178">
            <v>0</v>
          </cell>
          <cell r="MY178">
            <v>0</v>
          </cell>
          <cell r="MZ178">
            <v>0</v>
          </cell>
          <cell r="NA178">
            <v>0</v>
          </cell>
          <cell r="NG178">
            <v>0</v>
          </cell>
          <cell r="NH178">
            <v>0</v>
          </cell>
          <cell r="NI178">
            <v>0</v>
          </cell>
          <cell r="NJ178">
            <v>0</v>
          </cell>
          <cell r="NK178">
            <v>0</v>
          </cell>
          <cell r="NL178">
            <v>0</v>
          </cell>
          <cell r="NM178">
            <v>0</v>
          </cell>
          <cell r="NN178">
            <v>0</v>
          </cell>
          <cell r="NO178">
            <v>0</v>
          </cell>
          <cell r="NP178">
            <v>0</v>
          </cell>
          <cell r="NQ178">
            <v>0</v>
          </cell>
          <cell r="NR178">
            <v>0</v>
          </cell>
          <cell r="NS178">
            <v>0</v>
          </cell>
          <cell r="NT178">
            <v>0</v>
          </cell>
          <cell r="NU178">
            <v>0</v>
          </cell>
          <cell r="NV178">
            <v>0</v>
          </cell>
          <cell r="NW178">
            <v>0</v>
          </cell>
          <cell r="NX178">
            <v>0</v>
          </cell>
          <cell r="NY178">
            <v>0</v>
          </cell>
          <cell r="NZ178">
            <v>0</v>
          </cell>
          <cell r="OA178">
            <v>0</v>
          </cell>
          <cell r="OB178">
            <v>0</v>
          </cell>
          <cell r="OC178">
            <v>0</v>
          </cell>
          <cell r="OD178">
            <v>0</v>
          </cell>
          <cell r="OE178">
            <v>0</v>
          </cell>
          <cell r="OL178">
            <v>0</v>
          </cell>
          <cell r="OM178">
            <v>0</v>
          </cell>
          <cell r="ON178">
            <v>0</v>
          </cell>
          <cell r="OO178">
            <v>0</v>
          </cell>
          <cell r="OP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H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DN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MC179">
            <v>0</v>
          </cell>
          <cell r="MD179">
            <v>0</v>
          </cell>
          <cell r="ME179">
            <v>0</v>
          </cell>
          <cell r="MF179">
            <v>0</v>
          </cell>
          <cell r="MG179">
            <v>0</v>
          </cell>
          <cell r="MH179">
            <v>0</v>
          </cell>
          <cell r="MI179">
            <v>0</v>
          </cell>
          <cell r="MJ179">
            <v>0</v>
          </cell>
          <cell r="MK179">
            <v>0</v>
          </cell>
          <cell r="ML179">
            <v>0</v>
          </cell>
          <cell r="MM179">
            <v>0</v>
          </cell>
          <cell r="MN179">
            <v>0</v>
          </cell>
          <cell r="MO179">
            <v>0</v>
          </cell>
          <cell r="MP179">
            <v>0</v>
          </cell>
          <cell r="MQ179">
            <v>0</v>
          </cell>
          <cell r="MR179">
            <v>0</v>
          </cell>
          <cell r="MS179">
            <v>0</v>
          </cell>
          <cell r="MT179">
            <v>0</v>
          </cell>
          <cell r="MU179">
            <v>0</v>
          </cell>
          <cell r="MV179">
            <v>0</v>
          </cell>
          <cell r="MW179">
            <v>0</v>
          </cell>
          <cell r="MX179">
            <v>0</v>
          </cell>
          <cell r="MY179">
            <v>0</v>
          </cell>
          <cell r="MZ179">
            <v>0</v>
          </cell>
          <cell r="NA179">
            <v>0</v>
          </cell>
          <cell r="NG179">
            <v>0</v>
          </cell>
          <cell r="NH179">
            <v>0</v>
          </cell>
          <cell r="NI179">
            <v>0</v>
          </cell>
          <cell r="NJ179">
            <v>0</v>
          </cell>
          <cell r="NK179">
            <v>0</v>
          </cell>
          <cell r="NL179">
            <v>0</v>
          </cell>
          <cell r="NM179">
            <v>0</v>
          </cell>
          <cell r="NN179">
            <v>0</v>
          </cell>
          <cell r="NO179">
            <v>0</v>
          </cell>
          <cell r="NP179">
            <v>0</v>
          </cell>
          <cell r="NQ179">
            <v>0</v>
          </cell>
          <cell r="NR179">
            <v>0</v>
          </cell>
          <cell r="NS179">
            <v>0</v>
          </cell>
          <cell r="NT179">
            <v>0</v>
          </cell>
          <cell r="NU179">
            <v>0</v>
          </cell>
          <cell r="NV179">
            <v>0</v>
          </cell>
          <cell r="NW179">
            <v>0</v>
          </cell>
          <cell r="NX179">
            <v>0</v>
          </cell>
          <cell r="NY179">
            <v>0</v>
          </cell>
          <cell r="NZ179">
            <v>0</v>
          </cell>
          <cell r="OA179">
            <v>0</v>
          </cell>
          <cell r="OB179">
            <v>0</v>
          </cell>
          <cell r="OC179">
            <v>0</v>
          </cell>
          <cell r="OD179">
            <v>0</v>
          </cell>
          <cell r="OE179">
            <v>0</v>
          </cell>
          <cell r="OL179">
            <v>0</v>
          </cell>
          <cell r="OM179">
            <v>0</v>
          </cell>
          <cell r="ON179">
            <v>0</v>
          </cell>
          <cell r="OO179">
            <v>0</v>
          </cell>
          <cell r="OP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H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DN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MC180">
            <v>0</v>
          </cell>
          <cell r="MD180">
            <v>0</v>
          </cell>
          <cell r="ME180">
            <v>0</v>
          </cell>
          <cell r="MF180">
            <v>0</v>
          </cell>
          <cell r="MG180">
            <v>0</v>
          </cell>
          <cell r="MH180">
            <v>0</v>
          </cell>
          <cell r="MI180">
            <v>0</v>
          </cell>
          <cell r="MJ180">
            <v>0</v>
          </cell>
          <cell r="MK180">
            <v>0</v>
          </cell>
          <cell r="ML180">
            <v>0</v>
          </cell>
          <cell r="MM180">
            <v>0</v>
          </cell>
          <cell r="MN180">
            <v>0</v>
          </cell>
          <cell r="MO180">
            <v>0</v>
          </cell>
          <cell r="MP180">
            <v>0</v>
          </cell>
          <cell r="MQ180">
            <v>0</v>
          </cell>
          <cell r="MR180">
            <v>0</v>
          </cell>
          <cell r="MS180">
            <v>0</v>
          </cell>
          <cell r="MT180">
            <v>0</v>
          </cell>
          <cell r="MU180">
            <v>0</v>
          </cell>
          <cell r="MV180">
            <v>0</v>
          </cell>
          <cell r="MW180">
            <v>0</v>
          </cell>
          <cell r="MX180">
            <v>0</v>
          </cell>
          <cell r="MY180">
            <v>0</v>
          </cell>
          <cell r="MZ180">
            <v>0</v>
          </cell>
          <cell r="NA180">
            <v>0</v>
          </cell>
          <cell r="NG180">
            <v>0</v>
          </cell>
          <cell r="NH180">
            <v>0</v>
          </cell>
          <cell r="NI180">
            <v>0</v>
          </cell>
          <cell r="NJ180">
            <v>0</v>
          </cell>
          <cell r="NK180">
            <v>0</v>
          </cell>
          <cell r="NL180">
            <v>0</v>
          </cell>
          <cell r="NM180">
            <v>0</v>
          </cell>
          <cell r="NN180">
            <v>0</v>
          </cell>
          <cell r="NO180">
            <v>0</v>
          </cell>
          <cell r="NP180">
            <v>0</v>
          </cell>
          <cell r="NQ180">
            <v>0</v>
          </cell>
          <cell r="NR180">
            <v>0</v>
          </cell>
          <cell r="NS180">
            <v>0</v>
          </cell>
          <cell r="NT180">
            <v>0</v>
          </cell>
          <cell r="NU180">
            <v>0</v>
          </cell>
          <cell r="NV180">
            <v>0</v>
          </cell>
          <cell r="NW180">
            <v>0</v>
          </cell>
          <cell r="NX180">
            <v>0</v>
          </cell>
          <cell r="NY180">
            <v>0</v>
          </cell>
          <cell r="NZ180">
            <v>0</v>
          </cell>
          <cell r="OA180">
            <v>0</v>
          </cell>
          <cell r="OB180">
            <v>0</v>
          </cell>
          <cell r="OC180">
            <v>0</v>
          </cell>
          <cell r="OD180">
            <v>0</v>
          </cell>
          <cell r="OE180">
            <v>0</v>
          </cell>
          <cell r="OL180">
            <v>0</v>
          </cell>
          <cell r="OM180">
            <v>0</v>
          </cell>
          <cell r="ON180">
            <v>0</v>
          </cell>
          <cell r="OO180">
            <v>0</v>
          </cell>
          <cell r="OP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H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DN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MC181">
            <v>0</v>
          </cell>
          <cell r="MD181">
            <v>0</v>
          </cell>
          <cell r="ME181">
            <v>0</v>
          </cell>
          <cell r="MF181">
            <v>0</v>
          </cell>
          <cell r="MG181">
            <v>0</v>
          </cell>
          <cell r="MH181">
            <v>0</v>
          </cell>
          <cell r="MI181">
            <v>0</v>
          </cell>
          <cell r="MJ181">
            <v>0</v>
          </cell>
          <cell r="MK181">
            <v>0</v>
          </cell>
          <cell r="ML181">
            <v>0</v>
          </cell>
          <cell r="MM181">
            <v>0</v>
          </cell>
          <cell r="MN181">
            <v>0</v>
          </cell>
          <cell r="MO181">
            <v>0</v>
          </cell>
          <cell r="MP181">
            <v>0</v>
          </cell>
          <cell r="MQ181">
            <v>0</v>
          </cell>
          <cell r="MR181">
            <v>0</v>
          </cell>
          <cell r="MS181">
            <v>0</v>
          </cell>
          <cell r="MT181">
            <v>0</v>
          </cell>
          <cell r="MU181">
            <v>0</v>
          </cell>
          <cell r="MV181">
            <v>0</v>
          </cell>
          <cell r="MW181">
            <v>0</v>
          </cell>
          <cell r="MX181">
            <v>0</v>
          </cell>
          <cell r="MY181">
            <v>0</v>
          </cell>
          <cell r="MZ181">
            <v>0</v>
          </cell>
          <cell r="NA181">
            <v>0</v>
          </cell>
          <cell r="NG181">
            <v>0</v>
          </cell>
          <cell r="NH181">
            <v>0</v>
          </cell>
          <cell r="NI181">
            <v>0</v>
          </cell>
          <cell r="NJ181">
            <v>0</v>
          </cell>
          <cell r="NK181">
            <v>0</v>
          </cell>
          <cell r="NL181">
            <v>0</v>
          </cell>
          <cell r="NM181">
            <v>0</v>
          </cell>
          <cell r="NN181">
            <v>0</v>
          </cell>
          <cell r="NO181">
            <v>0</v>
          </cell>
          <cell r="NP181">
            <v>0</v>
          </cell>
          <cell r="NQ181">
            <v>0</v>
          </cell>
          <cell r="NR181">
            <v>0</v>
          </cell>
          <cell r="NS181">
            <v>0</v>
          </cell>
          <cell r="NT181">
            <v>0</v>
          </cell>
          <cell r="NU181">
            <v>0</v>
          </cell>
          <cell r="NV181">
            <v>0</v>
          </cell>
          <cell r="NW181">
            <v>0</v>
          </cell>
          <cell r="NX181">
            <v>0</v>
          </cell>
          <cell r="NY181">
            <v>0</v>
          </cell>
          <cell r="NZ181">
            <v>0</v>
          </cell>
          <cell r="OA181">
            <v>0</v>
          </cell>
          <cell r="OB181">
            <v>0</v>
          </cell>
          <cell r="OC181">
            <v>0</v>
          </cell>
          <cell r="OD181">
            <v>0</v>
          </cell>
          <cell r="OE181">
            <v>0</v>
          </cell>
          <cell r="OL181">
            <v>0</v>
          </cell>
          <cell r="OM181">
            <v>0</v>
          </cell>
          <cell r="ON181">
            <v>0</v>
          </cell>
          <cell r="OO181">
            <v>0</v>
          </cell>
          <cell r="OP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H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DN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MC182">
            <v>0</v>
          </cell>
          <cell r="MD182">
            <v>0</v>
          </cell>
          <cell r="ME182">
            <v>0</v>
          </cell>
          <cell r="MF182">
            <v>0</v>
          </cell>
          <cell r="MG182">
            <v>0</v>
          </cell>
          <cell r="MH182">
            <v>0</v>
          </cell>
          <cell r="MI182">
            <v>0</v>
          </cell>
          <cell r="MJ182">
            <v>0</v>
          </cell>
          <cell r="MK182">
            <v>0</v>
          </cell>
          <cell r="ML182">
            <v>0</v>
          </cell>
          <cell r="MM182">
            <v>0</v>
          </cell>
          <cell r="MN182">
            <v>0</v>
          </cell>
          <cell r="MO182">
            <v>0</v>
          </cell>
          <cell r="MP182">
            <v>0</v>
          </cell>
          <cell r="MQ182">
            <v>0</v>
          </cell>
          <cell r="MR182">
            <v>0</v>
          </cell>
          <cell r="MS182">
            <v>0</v>
          </cell>
          <cell r="MT182">
            <v>0</v>
          </cell>
          <cell r="MU182">
            <v>0</v>
          </cell>
          <cell r="MV182">
            <v>0</v>
          </cell>
          <cell r="MW182">
            <v>0</v>
          </cell>
          <cell r="MX182">
            <v>0</v>
          </cell>
          <cell r="MY182">
            <v>0</v>
          </cell>
          <cell r="MZ182">
            <v>0</v>
          </cell>
          <cell r="NA182">
            <v>0</v>
          </cell>
          <cell r="NG182">
            <v>0</v>
          </cell>
          <cell r="NH182">
            <v>0</v>
          </cell>
          <cell r="NI182">
            <v>0</v>
          </cell>
          <cell r="NJ182">
            <v>0</v>
          </cell>
          <cell r="NK182">
            <v>0</v>
          </cell>
          <cell r="NL182">
            <v>0</v>
          </cell>
          <cell r="NM182">
            <v>0</v>
          </cell>
          <cell r="NN182">
            <v>0</v>
          </cell>
          <cell r="NO182">
            <v>0</v>
          </cell>
          <cell r="NP182">
            <v>0</v>
          </cell>
          <cell r="NQ182">
            <v>0</v>
          </cell>
          <cell r="NR182">
            <v>0</v>
          </cell>
          <cell r="NS182">
            <v>0</v>
          </cell>
          <cell r="NT182">
            <v>0</v>
          </cell>
          <cell r="NU182">
            <v>0</v>
          </cell>
          <cell r="NV182">
            <v>0</v>
          </cell>
          <cell r="NW182">
            <v>0</v>
          </cell>
          <cell r="NX182">
            <v>0</v>
          </cell>
          <cell r="NY182">
            <v>0</v>
          </cell>
          <cell r="NZ182">
            <v>0</v>
          </cell>
          <cell r="OA182">
            <v>0</v>
          </cell>
          <cell r="OB182">
            <v>0</v>
          </cell>
          <cell r="OC182">
            <v>0</v>
          </cell>
          <cell r="OD182">
            <v>0</v>
          </cell>
          <cell r="OE182">
            <v>0</v>
          </cell>
          <cell r="OL182">
            <v>0</v>
          </cell>
          <cell r="OM182">
            <v>0</v>
          </cell>
          <cell r="ON182">
            <v>0</v>
          </cell>
          <cell r="OO182">
            <v>0</v>
          </cell>
          <cell r="OP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H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DN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MC183">
            <v>0</v>
          </cell>
          <cell r="MD183">
            <v>0</v>
          </cell>
          <cell r="ME183">
            <v>0</v>
          </cell>
          <cell r="MF183">
            <v>0</v>
          </cell>
          <cell r="MG183">
            <v>0</v>
          </cell>
          <cell r="MH183">
            <v>0</v>
          </cell>
          <cell r="MI183">
            <v>0</v>
          </cell>
          <cell r="MJ183">
            <v>0</v>
          </cell>
          <cell r="MK183">
            <v>0</v>
          </cell>
          <cell r="ML183">
            <v>0</v>
          </cell>
          <cell r="MM183">
            <v>0</v>
          </cell>
          <cell r="MN183">
            <v>0</v>
          </cell>
          <cell r="MO183">
            <v>0</v>
          </cell>
          <cell r="MP183">
            <v>0</v>
          </cell>
          <cell r="MQ183">
            <v>0</v>
          </cell>
          <cell r="MR183">
            <v>0</v>
          </cell>
          <cell r="MS183">
            <v>0</v>
          </cell>
          <cell r="MT183">
            <v>0</v>
          </cell>
          <cell r="MU183">
            <v>0</v>
          </cell>
          <cell r="MV183">
            <v>0</v>
          </cell>
          <cell r="MW183">
            <v>0</v>
          </cell>
          <cell r="MX183">
            <v>0</v>
          </cell>
          <cell r="MY183">
            <v>0</v>
          </cell>
          <cell r="MZ183">
            <v>0</v>
          </cell>
          <cell r="NA183">
            <v>0</v>
          </cell>
          <cell r="NG183">
            <v>0</v>
          </cell>
          <cell r="NH183">
            <v>0</v>
          </cell>
          <cell r="NI183">
            <v>0</v>
          </cell>
          <cell r="NJ183">
            <v>0</v>
          </cell>
          <cell r="NK183">
            <v>0</v>
          </cell>
          <cell r="NL183">
            <v>0</v>
          </cell>
          <cell r="NM183">
            <v>0</v>
          </cell>
          <cell r="NN183">
            <v>0</v>
          </cell>
          <cell r="NO183">
            <v>0</v>
          </cell>
          <cell r="NP183">
            <v>0</v>
          </cell>
          <cell r="NQ183">
            <v>0</v>
          </cell>
          <cell r="NR183">
            <v>0</v>
          </cell>
          <cell r="NS183">
            <v>0</v>
          </cell>
          <cell r="NT183">
            <v>0</v>
          </cell>
          <cell r="NU183">
            <v>0</v>
          </cell>
          <cell r="NV183">
            <v>0</v>
          </cell>
          <cell r="NW183">
            <v>0</v>
          </cell>
          <cell r="NX183">
            <v>0</v>
          </cell>
          <cell r="NY183">
            <v>0</v>
          </cell>
          <cell r="NZ183">
            <v>0</v>
          </cell>
          <cell r="OA183">
            <v>0</v>
          </cell>
          <cell r="OB183">
            <v>0</v>
          </cell>
          <cell r="OC183">
            <v>0</v>
          </cell>
          <cell r="OD183">
            <v>0</v>
          </cell>
          <cell r="OE183">
            <v>0</v>
          </cell>
          <cell r="OL183">
            <v>0</v>
          </cell>
          <cell r="OM183">
            <v>0</v>
          </cell>
          <cell r="ON183">
            <v>0</v>
          </cell>
          <cell r="OO183">
            <v>0</v>
          </cell>
          <cell r="OP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H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DN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MC184">
            <v>0</v>
          </cell>
          <cell r="MD184">
            <v>0</v>
          </cell>
          <cell r="ME184">
            <v>0</v>
          </cell>
          <cell r="MF184">
            <v>0</v>
          </cell>
          <cell r="MG184">
            <v>0</v>
          </cell>
          <cell r="MH184">
            <v>0</v>
          </cell>
          <cell r="MI184">
            <v>0</v>
          </cell>
          <cell r="MJ184">
            <v>0</v>
          </cell>
          <cell r="MK184">
            <v>0</v>
          </cell>
          <cell r="ML184">
            <v>0</v>
          </cell>
          <cell r="MM184">
            <v>0</v>
          </cell>
          <cell r="MN184">
            <v>0</v>
          </cell>
          <cell r="MO184">
            <v>0</v>
          </cell>
          <cell r="MP184">
            <v>0</v>
          </cell>
          <cell r="MQ184">
            <v>0</v>
          </cell>
          <cell r="MR184">
            <v>0</v>
          </cell>
          <cell r="MS184">
            <v>0</v>
          </cell>
          <cell r="MT184">
            <v>0</v>
          </cell>
          <cell r="MU184">
            <v>0</v>
          </cell>
          <cell r="MV184">
            <v>0</v>
          </cell>
          <cell r="MW184">
            <v>0</v>
          </cell>
          <cell r="MX184">
            <v>0</v>
          </cell>
          <cell r="MY184">
            <v>0</v>
          </cell>
          <cell r="MZ184">
            <v>0</v>
          </cell>
          <cell r="NA184">
            <v>0</v>
          </cell>
          <cell r="NG184">
            <v>0</v>
          </cell>
          <cell r="NH184">
            <v>0</v>
          </cell>
          <cell r="NI184">
            <v>0</v>
          </cell>
          <cell r="NJ184">
            <v>0</v>
          </cell>
          <cell r="NK184">
            <v>0</v>
          </cell>
          <cell r="NL184">
            <v>0</v>
          </cell>
          <cell r="NM184">
            <v>0</v>
          </cell>
          <cell r="NN184">
            <v>0</v>
          </cell>
          <cell r="NO184">
            <v>0</v>
          </cell>
          <cell r="NP184">
            <v>0</v>
          </cell>
          <cell r="NQ184">
            <v>0</v>
          </cell>
          <cell r="NR184">
            <v>0</v>
          </cell>
          <cell r="NS184">
            <v>0</v>
          </cell>
          <cell r="NT184">
            <v>0</v>
          </cell>
          <cell r="NU184">
            <v>0</v>
          </cell>
          <cell r="NV184">
            <v>0</v>
          </cell>
          <cell r="NW184">
            <v>0</v>
          </cell>
          <cell r="NX184">
            <v>0</v>
          </cell>
          <cell r="NY184">
            <v>0</v>
          </cell>
          <cell r="NZ184">
            <v>0</v>
          </cell>
          <cell r="OA184">
            <v>0</v>
          </cell>
          <cell r="OB184">
            <v>0</v>
          </cell>
          <cell r="OC184">
            <v>0</v>
          </cell>
          <cell r="OD184">
            <v>0</v>
          </cell>
          <cell r="OE184">
            <v>0</v>
          </cell>
          <cell r="OL184">
            <v>0</v>
          </cell>
          <cell r="OM184">
            <v>0</v>
          </cell>
          <cell r="ON184">
            <v>0</v>
          </cell>
          <cell r="OO184">
            <v>0</v>
          </cell>
          <cell r="OP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H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DN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MC185">
            <v>0</v>
          </cell>
          <cell r="MD185">
            <v>0</v>
          </cell>
          <cell r="ME185">
            <v>0</v>
          </cell>
          <cell r="MF185">
            <v>0</v>
          </cell>
          <cell r="MG185">
            <v>0</v>
          </cell>
          <cell r="MH185">
            <v>0</v>
          </cell>
          <cell r="MI185">
            <v>0</v>
          </cell>
          <cell r="MJ185">
            <v>0</v>
          </cell>
          <cell r="MK185">
            <v>0</v>
          </cell>
          <cell r="ML185">
            <v>0</v>
          </cell>
          <cell r="MM185">
            <v>0</v>
          </cell>
          <cell r="MN185">
            <v>0</v>
          </cell>
          <cell r="MO185">
            <v>0</v>
          </cell>
          <cell r="MP185">
            <v>0</v>
          </cell>
          <cell r="MQ185">
            <v>0</v>
          </cell>
          <cell r="MR185">
            <v>0</v>
          </cell>
          <cell r="MS185">
            <v>0</v>
          </cell>
          <cell r="MT185">
            <v>0</v>
          </cell>
          <cell r="MU185">
            <v>0</v>
          </cell>
          <cell r="MV185">
            <v>0</v>
          </cell>
          <cell r="MW185">
            <v>0</v>
          </cell>
          <cell r="MX185">
            <v>0</v>
          </cell>
          <cell r="MY185">
            <v>0</v>
          </cell>
          <cell r="MZ185">
            <v>0</v>
          </cell>
          <cell r="NA185">
            <v>0</v>
          </cell>
          <cell r="NG185">
            <v>0</v>
          </cell>
          <cell r="NH185">
            <v>0</v>
          </cell>
          <cell r="NI185">
            <v>0</v>
          </cell>
          <cell r="NJ185">
            <v>0</v>
          </cell>
          <cell r="NK185">
            <v>0</v>
          </cell>
          <cell r="NL185">
            <v>0</v>
          </cell>
          <cell r="NM185">
            <v>0</v>
          </cell>
          <cell r="NN185">
            <v>0</v>
          </cell>
          <cell r="NO185">
            <v>0</v>
          </cell>
          <cell r="NP185">
            <v>0</v>
          </cell>
          <cell r="NQ185">
            <v>0</v>
          </cell>
          <cell r="NR185">
            <v>0</v>
          </cell>
          <cell r="NS185">
            <v>0</v>
          </cell>
          <cell r="NT185">
            <v>0</v>
          </cell>
          <cell r="NU185">
            <v>0</v>
          </cell>
          <cell r="NV185">
            <v>0</v>
          </cell>
          <cell r="NW185">
            <v>0</v>
          </cell>
          <cell r="NX185">
            <v>0</v>
          </cell>
          <cell r="NY185">
            <v>0</v>
          </cell>
          <cell r="NZ185">
            <v>0</v>
          </cell>
          <cell r="OA185">
            <v>0</v>
          </cell>
          <cell r="OB185">
            <v>0</v>
          </cell>
          <cell r="OC185">
            <v>0</v>
          </cell>
          <cell r="OD185">
            <v>0</v>
          </cell>
          <cell r="OE185">
            <v>0</v>
          </cell>
          <cell r="OL185">
            <v>0</v>
          </cell>
          <cell r="OM185">
            <v>0</v>
          </cell>
          <cell r="ON185">
            <v>0</v>
          </cell>
          <cell r="OO185">
            <v>0</v>
          </cell>
          <cell r="OP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H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DN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MC186">
            <v>0</v>
          </cell>
          <cell r="MD186">
            <v>0</v>
          </cell>
          <cell r="ME186">
            <v>0</v>
          </cell>
          <cell r="MF186">
            <v>0</v>
          </cell>
          <cell r="MG186">
            <v>0</v>
          </cell>
          <cell r="MH186">
            <v>0</v>
          </cell>
          <cell r="MI186">
            <v>0</v>
          </cell>
          <cell r="MJ186">
            <v>0</v>
          </cell>
          <cell r="MK186">
            <v>0</v>
          </cell>
          <cell r="ML186">
            <v>0</v>
          </cell>
          <cell r="MM186">
            <v>0</v>
          </cell>
          <cell r="MN186">
            <v>0</v>
          </cell>
          <cell r="MO186">
            <v>0</v>
          </cell>
          <cell r="MP186">
            <v>0</v>
          </cell>
          <cell r="MQ186">
            <v>0</v>
          </cell>
          <cell r="MR186">
            <v>0</v>
          </cell>
          <cell r="MS186">
            <v>0</v>
          </cell>
          <cell r="MT186">
            <v>0</v>
          </cell>
          <cell r="MU186">
            <v>0</v>
          </cell>
          <cell r="MV186">
            <v>0</v>
          </cell>
          <cell r="MW186">
            <v>0</v>
          </cell>
          <cell r="MX186">
            <v>0</v>
          </cell>
          <cell r="MY186">
            <v>0</v>
          </cell>
          <cell r="MZ186">
            <v>0</v>
          </cell>
          <cell r="NA186">
            <v>0</v>
          </cell>
          <cell r="NG186">
            <v>0</v>
          </cell>
          <cell r="NH186">
            <v>0</v>
          </cell>
          <cell r="NI186">
            <v>0</v>
          </cell>
          <cell r="NJ186">
            <v>0</v>
          </cell>
          <cell r="NK186">
            <v>0</v>
          </cell>
          <cell r="NL186">
            <v>0</v>
          </cell>
          <cell r="NM186">
            <v>0</v>
          </cell>
          <cell r="NN186">
            <v>0</v>
          </cell>
          <cell r="NO186">
            <v>0</v>
          </cell>
          <cell r="NP186">
            <v>0</v>
          </cell>
          <cell r="NQ186">
            <v>0</v>
          </cell>
          <cell r="NR186">
            <v>0</v>
          </cell>
          <cell r="NS186">
            <v>0</v>
          </cell>
          <cell r="NT186">
            <v>0</v>
          </cell>
          <cell r="NU186">
            <v>0</v>
          </cell>
          <cell r="NV186">
            <v>0</v>
          </cell>
          <cell r="NW186">
            <v>0</v>
          </cell>
          <cell r="NX186">
            <v>0</v>
          </cell>
          <cell r="NY186">
            <v>0</v>
          </cell>
          <cell r="NZ186">
            <v>0</v>
          </cell>
          <cell r="OA186">
            <v>0</v>
          </cell>
          <cell r="OB186">
            <v>0</v>
          </cell>
          <cell r="OC186">
            <v>0</v>
          </cell>
          <cell r="OD186">
            <v>0</v>
          </cell>
          <cell r="OE186">
            <v>0</v>
          </cell>
          <cell r="OL186">
            <v>0</v>
          </cell>
          <cell r="OM186">
            <v>0</v>
          </cell>
          <cell r="ON186">
            <v>0</v>
          </cell>
          <cell r="OO186">
            <v>0</v>
          </cell>
          <cell r="OP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H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DN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MC187">
            <v>0</v>
          </cell>
          <cell r="MD187">
            <v>0</v>
          </cell>
          <cell r="ME187">
            <v>0</v>
          </cell>
          <cell r="MF187">
            <v>0</v>
          </cell>
          <cell r="MG187">
            <v>0</v>
          </cell>
          <cell r="MH187">
            <v>0</v>
          </cell>
          <cell r="MI187">
            <v>0</v>
          </cell>
          <cell r="MJ187">
            <v>0</v>
          </cell>
          <cell r="MK187">
            <v>0</v>
          </cell>
          <cell r="ML187">
            <v>0</v>
          </cell>
          <cell r="MM187">
            <v>0</v>
          </cell>
          <cell r="MN187">
            <v>0</v>
          </cell>
          <cell r="MO187">
            <v>0</v>
          </cell>
          <cell r="MP187">
            <v>0</v>
          </cell>
          <cell r="MQ187">
            <v>0</v>
          </cell>
          <cell r="MR187">
            <v>0</v>
          </cell>
          <cell r="MS187">
            <v>0</v>
          </cell>
          <cell r="MT187">
            <v>0</v>
          </cell>
          <cell r="MU187">
            <v>0</v>
          </cell>
          <cell r="MV187">
            <v>0</v>
          </cell>
          <cell r="MW187">
            <v>0</v>
          </cell>
          <cell r="MX187">
            <v>0</v>
          </cell>
          <cell r="MY187">
            <v>0</v>
          </cell>
          <cell r="MZ187">
            <v>0</v>
          </cell>
          <cell r="NA187">
            <v>0</v>
          </cell>
          <cell r="NG187">
            <v>0</v>
          </cell>
          <cell r="NH187">
            <v>0</v>
          </cell>
          <cell r="NI187">
            <v>0</v>
          </cell>
          <cell r="NJ187">
            <v>0</v>
          </cell>
          <cell r="NK187">
            <v>0</v>
          </cell>
          <cell r="NL187">
            <v>0</v>
          </cell>
          <cell r="NM187">
            <v>0</v>
          </cell>
          <cell r="NN187">
            <v>0</v>
          </cell>
          <cell r="NO187">
            <v>0</v>
          </cell>
          <cell r="NP187">
            <v>0</v>
          </cell>
          <cell r="NQ187">
            <v>0</v>
          </cell>
          <cell r="NR187">
            <v>0</v>
          </cell>
          <cell r="NS187">
            <v>0</v>
          </cell>
          <cell r="NT187">
            <v>0</v>
          </cell>
          <cell r="NU187">
            <v>0</v>
          </cell>
          <cell r="NV187">
            <v>0</v>
          </cell>
          <cell r="NW187">
            <v>0</v>
          </cell>
          <cell r="NX187">
            <v>0</v>
          </cell>
          <cell r="NY187">
            <v>0</v>
          </cell>
          <cell r="NZ187">
            <v>0</v>
          </cell>
          <cell r="OA187">
            <v>0</v>
          </cell>
          <cell r="OB187">
            <v>0</v>
          </cell>
          <cell r="OC187">
            <v>0</v>
          </cell>
          <cell r="OD187">
            <v>0</v>
          </cell>
          <cell r="OE187">
            <v>0</v>
          </cell>
          <cell r="OL187">
            <v>0</v>
          </cell>
          <cell r="OM187">
            <v>0</v>
          </cell>
          <cell r="ON187">
            <v>0</v>
          </cell>
          <cell r="OO187">
            <v>0</v>
          </cell>
          <cell r="OP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H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DN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IY188">
            <v>0</v>
          </cell>
          <cell r="IZ188">
            <v>0</v>
          </cell>
          <cell r="JA188">
            <v>0</v>
          </cell>
          <cell r="JB188">
            <v>0</v>
          </cell>
          <cell r="JC188">
            <v>0</v>
          </cell>
          <cell r="MC188">
            <v>0</v>
          </cell>
          <cell r="MD188">
            <v>0</v>
          </cell>
          <cell r="ME188">
            <v>0</v>
          </cell>
          <cell r="MF188">
            <v>0</v>
          </cell>
          <cell r="MG188">
            <v>0</v>
          </cell>
          <cell r="MH188">
            <v>0</v>
          </cell>
          <cell r="MI188">
            <v>0</v>
          </cell>
          <cell r="MJ188">
            <v>0</v>
          </cell>
          <cell r="MK188">
            <v>0</v>
          </cell>
          <cell r="ML188">
            <v>0</v>
          </cell>
          <cell r="MM188">
            <v>0</v>
          </cell>
          <cell r="MN188">
            <v>0</v>
          </cell>
          <cell r="MO188">
            <v>0</v>
          </cell>
          <cell r="MP188">
            <v>0</v>
          </cell>
          <cell r="MQ188">
            <v>0</v>
          </cell>
          <cell r="MR188">
            <v>0</v>
          </cell>
          <cell r="MS188">
            <v>0</v>
          </cell>
          <cell r="MT188">
            <v>0</v>
          </cell>
          <cell r="MU188">
            <v>0</v>
          </cell>
          <cell r="MV188">
            <v>0</v>
          </cell>
          <cell r="MW188">
            <v>0</v>
          </cell>
          <cell r="MX188">
            <v>0</v>
          </cell>
          <cell r="MY188">
            <v>0</v>
          </cell>
          <cell r="MZ188">
            <v>0</v>
          </cell>
          <cell r="NA188">
            <v>0</v>
          </cell>
          <cell r="NG188">
            <v>0</v>
          </cell>
          <cell r="NH188">
            <v>0</v>
          </cell>
          <cell r="NI188">
            <v>0</v>
          </cell>
          <cell r="NJ188">
            <v>0</v>
          </cell>
          <cell r="NK188">
            <v>0</v>
          </cell>
          <cell r="NL188">
            <v>0</v>
          </cell>
          <cell r="NM188">
            <v>0</v>
          </cell>
          <cell r="NN188">
            <v>0</v>
          </cell>
          <cell r="NO188">
            <v>0</v>
          </cell>
          <cell r="NP188">
            <v>0</v>
          </cell>
          <cell r="NQ188">
            <v>0</v>
          </cell>
          <cell r="NR188">
            <v>0</v>
          </cell>
          <cell r="NS188">
            <v>0</v>
          </cell>
          <cell r="NT188">
            <v>0</v>
          </cell>
          <cell r="NU188">
            <v>0</v>
          </cell>
          <cell r="NV188">
            <v>0</v>
          </cell>
          <cell r="NW188">
            <v>0</v>
          </cell>
          <cell r="NX188">
            <v>0</v>
          </cell>
          <cell r="NY188">
            <v>0</v>
          </cell>
          <cell r="NZ188">
            <v>0</v>
          </cell>
          <cell r="OA188">
            <v>0</v>
          </cell>
          <cell r="OB188">
            <v>0</v>
          </cell>
          <cell r="OC188">
            <v>0</v>
          </cell>
          <cell r="OD188">
            <v>0</v>
          </cell>
          <cell r="OE188">
            <v>0</v>
          </cell>
          <cell r="OL188">
            <v>0</v>
          </cell>
          <cell r="OM188">
            <v>0</v>
          </cell>
          <cell r="ON188">
            <v>0</v>
          </cell>
          <cell r="OO188">
            <v>0</v>
          </cell>
          <cell r="OP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H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DN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MC189">
            <v>0</v>
          </cell>
          <cell r="MD189">
            <v>0</v>
          </cell>
          <cell r="ME189">
            <v>0</v>
          </cell>
          <cell r="MF189">
            <v>0</v>
          </cell>
          <cell r="MG189">
            <v>0</v>
          </cell>
          <cell r="MH189">
            <v>0</v>
          </cell>
          <cell r="MI189">
            <v>0</v>
          </cell>
          <cell r="MJ189">
            <v>0</v>
          </cell>
          <cell r="MK189">
            <v>0</v>
          </cell>
          <cell r="ML189">
            <v>0</v>
          </cell>
          <cell r="MM189">
            <v>0</v>
          </cell>
          <cell r="MN189">
            <v>0</v>
          </cell>
          <cell r="MO189">
            <v>0</v>
          </cell>
          <cell r="MP189">
            <v>0</v>
          </cell>
          <cell r="MQ189">
            <v>0</v>
          </cell>
          <cell r="MR189">
            <v>0</v>
          </cell>
          <cell r="MS189">
            <v>0</v>
          </cell>
          <cell r="MT189">
            <v>0</v>
          </cell>
          <cell r="MU189">
            <v>0</v>
          </cell>
          <cell r="MV189">
            <v>0</v>
          </cell>
          <cell r="MW189">
            <v>0</v>
          </cell>
          <cell r="MX189">
            <v>0</v>
          </cell>
          <cell r="MY189">
            <v>0</v>
          </cell>
          <cell r="MZ189">
            <v>0</v>
          </cell>
          <cell r="NA189">
            <v>0</v>
          </cell>
          <cell r="NG189">
            <v>0</v>
          </cell>
          <cell r="NH189">
            <v>0</v>
          </cell>
          <cell r="NI189">
            <v>0</v>
          </cell>
          <cell r="NJ189">
            <v>0</v>
          </cell>
          <cell r="NK189">
            <v>0</v>
          </cell>
          <cell r="NL189">
            <v>0</v>
          </cell>
          <cell r="NM189">
            <v>0</v>
          </cell>
          <cell r="NN189">
            <v>0</v>
          </cell>
          <cell r="NO189">
            <v>0</v>
          </cell>
          <cell r="NP189">
            <v>0</v>
          </cell>
          <cell r="NQ189">
            <v>0</v>
          </cell>
          <cell r="NR189">
            <v>0</v>
          </cell>
          <cell r="NS189">
            <v>0</v>
          </cell>
          <cell r="NT189">
            <v>0</v>
          </cell>
          <cell r="NU189">
            <v>0</v>
          </cell>
          <cell r="NV189">
            <v>0</v>
          </cell>
          <cell r="NW189">
            <v>0</v>
          </cell>
          <cell r="NX189">
            <v>0</v>
          </cell>
          <cell r="NY189">
            <v>0</v>
          </cell>
          <cell r="NZ189">
            <v>0</v>
          </cell>
          <cell r="OA189">
            <v>0</v>
          </cell>
          <cell r="OB189">
            <v>0</v>
          </cell>
          <cell r="OC189">
            <v>0</v>
          </cell>
          <cell r="OD189">
            <v>0</v>
          </cell>
          <cell r="OE189">
            <v>0</v>
          </cell>
          <cell r="OL189">
            <v>0</v>
          </cell>
          <cell r="OM189">
            <v>0</v>
          </cell>
          <cell r="ON189">
            <v>0</v>
          </cell>
          <cell r="OO189">
            <v>0</v>
          </cell>
          <cell r="OP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H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DN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IY190">
            <v>0</v>
          </cell>
          <cell r="IZ190">
            <v>0</v>
          </cell>
          <cell r="JA190">
            <v>0</v>
          </cell>
          <cell r="JB190">
            <v>0</v>
          </cell>
          <cell r="JC190">
            <v>0</v>
          </cell>
          <cell r="MC190">
            <v>0</v>
          </cell>
          <cell r="MD190">
            <v>0</v>
          </cell>
          <cell r="ME190">
            <v>0</v>
          </cell>
          <cell r="MF190">
            <v>0</v>
          </cell>
          <cell r="MG190">
            <v>0</v>
          </cell>
          <cell r="MH190">
            <v>0</v>
          </cell>
          <cell r="MI190">
            <v>0</v>
          </cell>
          <cell r="MJ190">
            <v>0</v>
          </cell>
          <cell r="MK190">
            <v>0</v>
          </cell>
          <cell r="ML190">
            <v>0</v>
          </cell>
          <cell r="MM190">
            <v>0</v>
          </cell>
          <cell r="MN190">
            <v>0</v>
          </cell>
          <cell r="MO190">
            <v>0</v>
          </cell>
          <cell r="MP190">
            <v>0</v>
          </cell>
          <cell r="MQ190">
            <v>0</v>
          </cell>
          <cell r="MR190">
            <v>0</v>
          </cell>
          <cell r="MS190">
            <v>0</v>
          </cell>
          <cell r="MT190">
            <v>0</v>
          </cell>
          <cell r="MU190">
            <v>0</v>
          </cell>
          <cell r="MV190">
            <v>0</v>
          </cell>
          <cell r="MW190">
            <v>0</v>
          </cell>
          <cell r="MX190">
            <v>0</v>
          </cell>
          <cell r="MY190">
            <v>0</v>
          </cell>
          <cell r="MZ190">
            <v>0</v>
          </cell>
          <cell r="NA190">
            <v>0</v>
          </cell>
          <cell r="NG190">
            <v>0</v>
          </cell>
          <cell r="NH190">
            <v>0</v>
          </cell>
          <cell r="NI190">
            <v>0</v>
          </cell>
          <cell r="NJ190">
            <v>0</v>
          </cell>
          <cell r="NK190">
            <v>0</v>
          </cell>
          <cell r="NL190">
            <v>0</v>
          </cell>
          <cell r="NM190">
            <v>0</v>
          </cell>
          <cell r="NN190">
            <v>0</v>
          </cell>
          <cell r="NO190">
            <v>0</v>
          </cell>
          <cell r="NP190">
            <v>0</v>
          </cell>
          <cell r="NQ190">
            <v>0</v>
          </cell>
          <cell r="NR190">
            <v>0</v>
          </cell>
          <cell r="NS190">
            <v>0</v>
          </cell>
          <cell r="NT190">
            <v>0</v>
          </cell>
          <cell r="NU190">
            <v>0</v>
          </cell>
          <cell r="NV190">
            <v>0</v>
          </cell>
          <cell r="NW190">
            <v>0</v>
          </cell>
          <cell r="NX190">
            <v>0</v>
          </cell>
          <cell r="NY190">
            <v>0</v>
          </cell>
          <cell r="NZ190">
            <v>0</v>
          </cell>
          <cell r="OA190">
            <v>0</v>
          </cell>
          <cell r="OB190">
            <v>0</v>
          </cell>
          <cell r="OC190">
            <v>0</v>
          </cell>
          <cell r="OD190">
            <v>0</v>
          </cell>
          <cell r="OE190">
            <v>0</v>
          </cell>
          <cell r="OL190">
            <v>0</v>
          </cell>
          <cell r="OM190">
            <v>0</v>
          </cell>
          <cell r="ON190">
            <v>0</v>
          </cell>
          <cell r="OO190">
            <v>0</v>
          </cell>
          <cell r="OP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H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DN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MC191">
            <v>0</v>
          </cell>
          <cell r="MD191">
            <v>0</v>
          </cell>
          <cell r="ME191">
            <v>0</v>
          </cell>
          <cell r="MF191">
            <v>0</v>
          </cell>
          <cell r="MG191">
            <v>0</v>
          </cell>
          <cell r="MH191">
            <v>0</v>
          </cell>
          <cell r="MI191">
            <v>0</v>
          </cell>
          <cell r="MJ191">
            <v>0</v>
          </cell>
          <cell r="MK191">
            <v>0</v>
          </cell>
          <cell r="ML191">
            <v>0</v>
          </cell>
          <cell r="MM191">
            <v>0</v>
          </cell>
          <cell r="MN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0</v>
          </cell>
          <cell r="MS191">
            <v>0</v>
          </cell>
          <cell r="MT191">
            <v>0</v>
          </cell>
          <cell r="MU191">
            <v>0</v>
          </cell>
          <cell r="MV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0</v>
          </cell>
          <cell r="NM191">
            <v>0</v>
          </cell>
          <cell r="NN191">
            <v>0</v>
          </cell>
          <cell r="NO191">
            <v>0</v>
          </cell>
          <cell r="NP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0</v>
          </cell>
          <cell r="NW191">
            <v>0</v>
          </cell>
          <cell r="NX191">
            <v>0</v>
          </cell>
          <cell r="NY191">
            <v>0</v>
          </cell>
          <cell r="NZ191">
            <v>0</v>
          </cell>
          <cell r="OA191">
            <v>0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L191">
            <v>0</v>
          </cell>
          <cell r="OM191">
            <v>0</v>
          </cell>
          <cell r="ON191">
            <v>0</v>
          </cell>
          <cell r="OO191">
            <v>0</v>
          </cell>
          <cell r="OP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H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DN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MC192">
            <v>0</v>
          </cell>
          <cell r="MD192">
            <v>0</v>
          </cell>
          <cell r="ME192">
            <v>0</v>
          </cell>
          <cell r="MF192">
            <v>0</v>
          </cell>
          <cell r="MG192">
            <v>0</v>
          </cell>
          <cell r="MH192">
            <v>0</v>
          </cell>
          <cell r="MI192">
            <v>0</v>
          </cell>
          <cell r="MJ192">
            <v>0</v>
          </cell>
          <cell r="MK192">
            <v>0</v>
          </cell>
          <cell r="ML192">
            <v>0</v>
          </cell>
          <cell r="MM192">
            <v>0</v>
          </cell>
          <cell r="MN192">
            <v>0</v>
          </cell>
          <cell r="MO192">
            <v>0</v>
          </cell>
          <cell r="MP192">
            <v>0</v>
          </cell>
          <cell r="MQ192">
            <v>0</v>
          </cell>
          <cell r="MR192">
            <v>0</v>
          </cell>
          <cell r="MS192">
            <v>0</v>
          </cell>
          <cell r="MT192">
            <v>0</v>
          </cell>
          <cell r="MU192">
            <v>0</v>
          </cell>
          <cell r="MV192">
            <v>0</v>
          </cell>
          <cell r="MW192">
            <v>0</v>
          </cell>
          <cell r="MX192">
            <v>0</v>
          </cell>
          <cell r="MY192">
            <v>0</v>
          </cell>
          <cell r="MZ192">
            <v>0</v>
          </cell>
          <cell r="NA192">
            <v>0</v>
          </cell>
          <cell r="NG192">
            <v>0</v>
          </cell>
          <cell r="NH192">
            <v>0</v>
          </cell>
          <cell r="NI192">
            <v>0</v>
          </cell>
          <cell r="NJ192">
            <v>0</v>
          </cell>
          <cell r="NK192">
            <v>0</v>
          </cell>
          <cell r="NL192">
            <v>0</v>
          </cell>
          <cell r="NM192">
            <v>0</v>
          </cell>
          <cell r="NN192">
            <v>0</v>
          </cell>
          <cell r="NO192">
            <v>0</v>
          </cell>
          <cell r="NP192">
            <v>0</v>
          </cell>
          <cell r="NQ192">
            <v>0</v>
          </cell>
          <cell r="NR192">
            <v>0</v>
          </cell>
          <cell r="NS192">
            <v>0</v>
          </cell>
          <cell r="NT192">
            <v>0</v>
          </cell>
          <cell r="NU192">
            <v>0</v>
          </cell>
          <cell r="NV192">
            <v>0</v>
          </cell>
          <cell r="NW192">
            <v>0</v>
          </cell>
          <cell r="NX192">
            <v>0</v>
          </cell>
          <cell r="NY192">
            <v>0</v>
          </cell>
          <cell r="NZ192">
            <v>0</v>
          </cell>
          <cell r="OA192">
            <v>0</v>
          </cell>
          <cell r="OB192">
            <v>0</v>
          </cell>
          <cell r="OC192">
            <v>0</v>
          </cell>
          <cell r="OD192">
            <v>0</v>
          </cell>
          <cell r="OE192">
            <v>0</v>
          </cell>
          <cell r="OL192">
            <v>0</v>
          </cell>
          <cell r="OM192">
            <v>0</v>
          </cell>
          <cell r="ON192">
            <v>0</v>
          </cell>
          <cell r="OO192">
            <v>0</v>
          </cell>
          <cell r="OP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H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DN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IY193">
            <v>0</v>
          </cell>
          <cell r="IZ193">
            <v>0</v>
          </cell>
          <cell r="JA193">
            <v>0</v>
          </cell>
          <cell r="JB193">
            <v>0</v>
          </cell>
          <cell r="JC193">
            <v>0</v>
          </cell>
          <cell r="MC193">
            <v>0</v>
          </cell>
          <cell r="MD193">
            <v>0</v>
          </cell>
          <cell r="ME193">
            <v>0</v>
          </cell>
          <cell r="MF193">
            <v>0</v>
          </cell>
          <cell r="MG193">
            <v>0</v>
          </cell>
          <cell r="MH193">
            <v>0</v>
          </cell>
          <cell r="MI193">
            <v>0</v>
          </cell>
          <cell r="MJ193">
            <v>0</v>
          </cell>
          <cell r="MK193">
            <v>0</v>
          </cell>
          <cell r="ML193">
            <v>0</v>
          </cell>
          <cell r="MM193">
            <v>0</v>
          </cell>
          <cell r="MN193">
            <v>0</v>
          </cell>
          <cell r="MO193">
            <v>0</v>
          </cell>
          <cell r="MP193">
            <v>0</v>
          </cell>
          <cell r="MQ193">
            <v>0</v>
          </cell>
          <cell r="MR193">
            <v>0</v>
          </cell>
          <cell r="MS193">
            <v>0</v>
          </cell>
          <cell r="MT193">
            <v>0</v>
          </cell>
          <cell r="MU193">
            <v>0</v>
          </cell>
          <cell r="MV193">
            <v>0</v>
          </cell>
          <cell r="MW193">
            <v>0</v>
          </cell>
          <cell r="MX193">
            <v>0</v>
          </cell>
          <cell r="MY193">
            <v>0</v>
          </cell>
          <cell r="MZ193">
            <v>0</v>
          </cell>
          <cell r="NA193">
            <v>0</v>
          </cell>
          <cell r="NG193">
            <v>0</v>
          </cell>
          <cell r="NH193">
            <v>0</v>
          </cell>
          <cell r="NI193">
            <v>0</v>
          </cell>
          <cell r="NJ193">
            <v>0</v>
          </cell>
          <cell r="NK193">
            <v>0</v>
          </cell>
          <cell r="NL193">
            <v>0</v>
          </cell>
          <cell r="NM193">
            <v>0</v>
          </cell>
          <cell r="NN193">
            <v>0</v>
          </cell>
          <cell r="NO193">
            <v>0</v>
          </cell>
          <cell r="NP193">
            <v>0</v>
          </cell>
          <cell r="NQ193">
            <v>0</v>
          </cell>
          <cell r="NR193">
            <v>0</v>
          </cell>
          <cell r="NS193">
            <v>0</v>
          </cell>
          <cell r="NT193">
            <v>0</v>
          </cell>
          <cell r="NU193">
            <v>0</v>
          </cell>
          <cell r="NV193">
            <v>0</v>
          </cell>
          <cell r="NW193">
            <v>0</v>
          </cell>
          <cell r="NX193">
            <v>0</v>
          </cell>
          <cell r="NY193">
            <v>0</v>
          </cell>
          <cell r="NZ193">
            <v>0</v>
          </cell>
          <cell r="OA193">
            <v>0</v>
          </cell>
          <cell r="OB193">
            <v>0</v>
          </cell>
          <cell r="OC193">
            <v>0</v>
          </cell>
          <cell r="OD193">
            <v>0</v>
          </cell>
          <cell r="OE193">
            <v>0</v>
          </cell>
          <cell r="OL193">
            <v>0</v>
          </cell>
          <cell r="OM193">
            <v>0</v>
          </cell>
          <cell r="ON193">
            <v>0</v>
          </cell>
          <cell r="OO193">
            <v>0</v>
          </cell>
          <cell r="OP19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 5 анализ эконом эфф"/>
      <sheetName val="6.1. Паспорт сетевой график"/>
      <sheetName val="6.2. Паспорт фин осв ввод"/>
      <sheetName val="7.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>
        <row r="30">
          <cell r="C30" t="str">
            <v>с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zoomScale="60" zoomScaleNormal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29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05" t="s">
        <v>472</v>
      </c>
      <c r="B5" s="205"/>
      <c r="C5" s="205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9" t="s">
        <v>5</v>
      </c>
      <c r="B7" s="209"/>
      <c r="C7" s="20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0" t="s">
        <v>265</v>
      </c>
      <c r="B9" s="210"/>
      <c r="C9" s="21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6" t="s">
        <v>4</v>
      </c>
      <c r="B10" s="206"/>
      <c r="C10" s="20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0" t="s">
        <v>461</v>
      </c>
      <c r="B12" s="210"/>
      <c r="C12" s="21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6" t="s">
        <v>3</v>
      </c>
      <c r="B13" s="206"/>
      <c r="C13" s="20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21.75" customHeight="1" x14ac:dyDescent="0.2">
      <c r="A15" s="211" t="str">
        <f>VLOOKUP(A12,'[1]6.2. отчет'!$A:$C,3,0)</f>
        <v>Модернизация ПС 110/35 кВ Гудермес-Тяговая с установкой шкафа промежуточных зажимов ШЗВ-200 и шкафа обогрева ШОВ-4</v>
      </c>
      <c r="B15" s="212"/>
      <c r="C15" s="2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6" t="s">
        <v>2</v>
      </c>
      <c r="B16" s="206"/>
      <c r="C16" s="20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07" t="s">
        <v>255</v>
      </c>
      <c r="B18" s="208"/>
      <c r="C18" s="20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0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39" customHeight="1" x14ac:dyDescent="0.2">
      <c r="A22" s="18" t="s">
        <v>18</v>
      </c>
      <c r="B22" s="31" t="s">
        <v>148</v>
      </c>
      <c r="C22" s="127" t="s">
        <v>460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30" customHeight="1" x14ac:dyDescent="0.2">
      <c r="A23" s="18" t="s">
        <v>17</v>
      </c>
      <c r="B23" s="26" t="s">
        <v>451</v>
      </c>
      <c r="C23" s="186" t="s">
        <v>455</v>
      </c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1"/>
      <c r="U23" s="21"/>
      <c r="V23" s="21"/>
    </row>
    <row r="24" spans="1:22" s="2" customFormat="1" ht="22.5" customHeight="1" x14ac:dyDescent="0.2">
      <c r="A24" s="202"/>
      <c r="B24" s="203"/>
      <c r="C24" s="204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182" customFormat="1" ht="58.5" customHeight="1" x14ac:dyDescent="0.2">
      <c r="A25" s="176" t="s">
        <v>16</v>
      </c>
      <c r="B25" s="177" t="s">
        <v>226</v>
      </c>
      <c r="C25" s="178" t="s">
        <v>457</v>
      </c>
      <c r="D25" s="179"/>
      <c r="E25" s="179"/>
      <c r="F25" s="179"/>
      <c r="G25" s="179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1"/>
      <c r="T25" s="181"/>
      <c r="U25" s="181"/>
      <c r="V25" s="181"/>
    </row>
    <row r="26" spans="1:22" s="182" customFormat="1" ht="42.75" customHeight="1" x14ac:dyDescent="0.2">
      <c r="A26" s="176" t="s">
        <v>15</v>
      </c>
      <c r="B26" s="177" t="s">
        <v>28</v>
      </c>
      <c r="C26" s="178" t="s">
        <v>266</v>
      </c>
      <c r="D26" s="179"/>
      <c r="E26" s="179"/>
      <c r="F26" s="179"/>
      <c r="G26" s="179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1"/>
      <c r="T26" s="181"/>
      <c r="U26" s="181"/>
      <c r="V26" s="181"/>
    </row>
    <row r="27" spans="1:22" s="182" customFormat="1" ht="51.75" customHeight="1" x14ac:dyDescent="0.2">
      <c r="A27" s="176" t="s">
        <v>13</v>
      </c>
      <c r="B27" s="177" t="s">
        <v>27</v>
      </c>
      <c r="C27" s="178" t="s">
        <v>463</v>
      </c>
      <c r="D27" s="179"/>
      <c r="E27" s="179"/>
      <c r="F27" s="179"/>
      <c r="G27" s="179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1"/>
      <c r="T27" s="181"/>
      <c r="U27" s="181"/>
      <c r="V27" s="181"/>
    </row>
    <row r="28" spans="1:22" s="182" customFormat="1" ht="42.75" customHeight="1" x14ac:dyDescent="0.2">
      <c r="A28" s="176" t="s">
        <v>12</v>
      </c>
      <c r="B28" s="177" t="s">
        <v>227</v>
      </c>
      <c r="C28" s="178" t="s">
        <v>267</v>
      </c>
      <c r="D28" s="179"/>
      <c r="E28" s="179"/>
      <c r="F28" s="179"/>
      <c r="G28" s="179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1"/>
      <c r="T28" s="181"/>
      <c r="U28" s="181"/>
      <c r="V28" s="181"/>
    </row>
    <row r="29" spans="1:22" s="182" customFormat="1" ht="51.75" customHeight="1" x14ac:dyDescent="0.2">
      <c r="A29" s="176" t="s">
        <v>10</v>
      </c>
      <c r="B29" s="177" t="s">
        <v>228</v>
      </c>
      <c r="C29" s="178" t="s">
        <v>267</v>
      </c>
      <c r="D29" s="179"/>
      <c r="E29" s="179"/>
      <c r="F29" s="179"/>
      <c r="G29" s="179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1"/>
      <c r="T29" s="181"/>
      <c r="U29" s="181"/>
      <c r="V29" s="181"/>
    </row>
    <row r="30" spans="1:22" s="182" customFormat="1" ht="51.75" customHeight="1" x14ac:dyDescent="0.2">
      <c r="A30" s="176" t="s">
        <v>8</v>
      </c>
      <c r="B30" s="177" t="s">
        <v>229</v>
      </c>
      <c r="C30" s="178" t="s">
        <v>267</v>
      </c>
      <c r="D30" s="179"/>
      <c r="E30" s="179"/>
      <c r="F30" s="179"/>
      <c r="G30" s="179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1"/>
      <c r="T30" s="181"/>
      <c r="U30" s="181"/>
      <c r="V30" s="181"/>
    </row>
    <row r="31" spans="1:22" s="182" customFormat="1" ht="51.75" customHeight="1" x14ac:dyDescent="0.2">
      <c r="A31" s="176" t="s">
        <v>26</v>
      </c>
      <c r="B31" s="177" t="s">
        <v>230</v>
      </c>
      <c r="C31" s="178" t="s">
        <v>267</v>
      </c>
      <c r="D31" s="179"/>
      <c r="E31" s="179"/>
      <c r="F31" s="179"/>
      <c r="G31" s="179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1"/>
      <c r="T31" s="181"/>
      <c r="U31" s="181"/>
      <c r="V31" s="181"/>
    </row>
    <row r="32" spans="1:22" s="182" customFormat="1" ht="51.75" customHeight="1" x14ac:dyDescent="0.2">
      <c r="A32" s="176" t="s">
        <v>24</v>
      </c>
      <c r="B32" s="177" t="s">
        <v>231</v>
      </c>
      <c r="C32" s="178" t="s">
        <v>267</v>
      </c>
      <c r="D32" s="179"/>
      <c r="E32" s="179"/>
      <c r="F32" s="179"/>
      <c r="G32" s="179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1"/>
      <c r="T32" s="181"/>
      <c r="U32" s="181"/>
      <c r="V32" s="181"/>
    </row>
    <row r="33" spans="1:22" s="182" customFormat="1" ht="101.25" customHeight="1" x14ac:dyDescent="0.2">
      <c r="A33" s="176" t="s">
        <v>23</v>
      </c>
      <c r="B33" s="177" t="s">
        <v>232</v>
      </c>
      <c r="C33" s="177" t="s">
        <v>268</v>
      </c>
      <c r="D33" s="179"/>
      <c r="E33" s="179"/>
      <c r="F33" s="179"/>
      <c r="G33" s="179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1"/>
      <c r="T33" s="181"/>
      <c r="U33" s="181"/>
      <c r="V33" s="181"/>
    </row>
    <row r="34" spans="1:22" ht="111" customHeight="1" x14ac:dyDescent="0.25">
      <c r="A34" s="18" t="s">
        <v>242</v>
      </c>
      <c r="B34" s="30" t="s">
        <v>233</v>
      </c>
      <c r="C34" s="19" t="s">
        <v>268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236</v>
      </c>
      <c r="B35" s="30" t="s">
        <v>25</v>
      </c>
      <c r="C35" s="19" t="s">
        <v>267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243</v>
      </c>
      <c r="B36" s="30" t="s">
        <v>234</v>
      </c>
      <c r="C36" s="19" t="s">
        <v>268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237</v>
      </c>
      <c r="B37" s="30" t="s">
        <v>235</v>
      </c>
      <c r="C37" s="19" t="s">
        <v>268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244</v>
      </c>
      <c r="B38" s="30" t="s">
        <v>144</v>
      </c>
      <c r="C38" s="19" t="s">
        <v>267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02"/>
      <c r="B39" s="203"/>
      <c r="C39" s="204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s="74" customFormat="1" ht="101.25" customHeight="1" x14ac:dyDescent="0.25">
      <c r="A40" s="71" t="s">
        <v>238</v>
      </c>
      <c r="B40" s="30" t="s">
        <v>256</v>
      </c>
      <c r="C40" s="175" t="s">
        <v>289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</row>
    <row r="41" spans="1:22" ht="18.75" customHeight="1" x14ac:dyDescent="0.25">
      <c r="A41" s="202"/>
      <c r="B41" s="203"/>
      <c r="C41" s="204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26" t="s">
        <v>245</v>
      </c>
      <c r="B42" s="65" t="s">
        <v>282</v>
      </c>
      <c r="C42" s="124" t="s">
        <v>283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84" customHeight="1" x14ac:dyDescent="0.25">
      <c r="A43" s="126" t="s">
        <v>239</v>
      </c>
      <c r="B43" s="65" t="s">
        <v>284</v>
      </c>
      <c r="C43" s="124" t="s">
        <v>285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92.75" customHeight="1" x14ac:dyDescent="0.25">
      <c r="A44" s="126" t="s">
        <v>291</v>
      </c>
      <c r="B44" s="65" t="s">
        <v>286</v>
      </c>
      <c r="C44" s="124" t="s">
        <v>287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26" t="s">
        <v>280</v>
      </c>
      <c r="B45" s="65" t="s">
        <v>288</v>
      </c>
      <c r="C45" s="125" t="s">
        <v>289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1.25" customHeight="1" x14ac:dyDescent="0.25">
      <c r="A46" s="126" t="s">
        <v>281</v>
      </c>
      <c r="B46" s="65" t="s">
        <v>290</v>
      </c>
      <c r="C46" s="125" t="s">
        <v>289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101.25" customHeight="1" x14ac:dyDescent="0.25">
      <c r="A47" s="126" t="s">
        <v>292</v>
      </c>
      <c r="B47" s="65" t="s">
        <v>256</v>
      </c>
      <c r="C47" s="125" t="s">
        <v>289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s="74" customFormat="1" ht="75.75" customHeight="1" x14ac:dyDescent="0.25">
      <c r="A48" s="126" t="s">
        <v>293</v>
      </c>
      <c r="B48" s="30" t="s">
        <v>261</v>
      </c>
      <c r="C48" s="72">
        <f>'6.2. Паспорт фин осв ввод'!D24</f>
        <v>7.1219837199999997E-2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ht="71.25" customHeight="1" x14ac:dyDescent="0.25">
      <c r="A49" s="126" t="s">
        <v>294</v>
      </c>
      <c r="B49" s="30" t="s">
        <v>262</v>
      </c>
      <c r="C49" s="72">
        <f>'6.2. Паспорт фин осв ввод'!D30</f>
        <v>6.3250539999999994E-2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</sheetData>
  <mergeCells count="12">
    <mergeCell ref="A24:C24"/>
    <mergeCell ref="A39:C39"/>
    <mergeCell ref="A41:C41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topLeftCell="A16" zoomScale="55" zoomScaleNormal="55" workbookViewId="0">
      <selection activeCell="C20" sqref="C20:K64"/>
    </sheetView>
  </sheetViews>
  <sheetFormatPr defaultRowHeight="15.75" x14ac:dyDescent="0.25"/>
  <cols>
    <col min="1" max="1" width="9.140625" style="35"/>
    <col min="2" max="2" width="57.85546875" style="35" customWidth="1"/>
    <col min="3" max="3" width="13.7109375" style="35" customWidth="1"/>
    <col min="4" max="4" width="12.7109375" style="35" customWidth="1"/>
    <col min="5" max="5" width="21.5703125" style="35" customWidth="1"/>
    <col min="6" max="6" width="20.28515625" style="35" customWidth="1"/>
    <col min="7" max="7" width="14.140625" style="36" customWidth="1"/>
    <col min="8" max="16384" width="9.140625" style="35"/>
  </cols>
  <sheetData>
    <row r="1" spans="1:7" x14ac:dyDescent="0.25">
      <c r="A1" s="36"/>
      <c r="B1" s="36"/>
      <c r="C1" s="36"/>
      <c r="D1" s="36"/>
      <c r="E1" s="36"/>
      <c r="F1" s="36"/>
    </row>
    <row r="2" spans="1:7" x14ac:dyDescent="0.25">
      <c r="A2" s="36"/>
      <c r="B2" s="36"/>
      <c r="C2" s="36"/>
      <c r="D2" s="36"/>
      <c r="E2" s="36"/>
      <c r="F2" s="36"/>
    </row>
    <row r="3" spans="1:7" x14ac:dyDescent="0.25">
      <c r="A3" s="36"/>
      <c r="B3" s="36"/>
      <c r="C3" s="36"/>
      <c r="D3" s="36"/>
      <c r="E3" s="36"/>
      <c r="F3" s="36"/>
    </row>
    <row r="4" spans="1:7" ht="18.75" customHeight="1" x14ac:dyDescent="0.25">
      <c r="A4" s="205" t="str">
        <f>'1. паспорт местоположение'!$A$5</f>
        <v>Год раскрытия информации: 2019 год</v>
      </c>
      <c r="B4" s="205"/>
      <c r="C4" s="205"/>
      <c r="D4" s="205"/>
      <c r="E4" s="205"/>
      <c r="F4" s="205"/>
      <c r="G4" s="205"/>
    </row>
    <row r="5" spans="1:7" x14ac:dyDescent="0.25">
      <c r="A5" s="36"/>
      <c r="B5" s="36"/>
      <c r="C5" s="36"/>
      <c r="D5" s="36"/>
      <c r="E5" s="36"/>
      <c r="F5" s="36"/>
    </row>
    <row r="6" spans="1:7" ht="18.75" x14ac:dyDescent="0.25">
      <c r="A6" s="209" t="s">
        <v>5</v>
      </c>
      <c r="B6" s="209"/>
      <c r="C6" s="209"/>
      <c r="D6" s="209"/>
      <c r="E6" s="209"/>
      <c r="F6" s="209"/>
      <c r="G6" s="209"/>
    </row>
    <row r="7" spans="1:7" ht="18.75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210" t="s">
        <v>265</v>
      </c>
      <c r="B8" s="210"/>
      <c r="C8" s="210"/>
      <c r="D8" s="210"/>
      <c r="E8" s="210"/>
      <c r="F8" s="210"/>
      <c r="G8" s="210"/>
    </row>
    <row r="9" spans="1:7" ht="18.75" customHeight="1" x14ac:dyDescent="0.25">
      <c r="A9" s="206" t="s">
        <v>4</v>
      </c>
      <c r="B9" s="206"/>
      <c r="C9" s="206"/>
      <c r="D9" s="206"/>
      <c r="E9" s="206"/>
      <c r="F9" s="206"/>
      <c r="G9" s="206"/>
    </row>
    <row r="10" spans="1:7" ht="18.75" x14ac:dyDescent="0.25">
      <c r="A10" s="11"/>
      <c r="B10" s="11"/>
      <c r="C10" s="11"/>
      <c r="D10" s="11"/>
      <c r="E10" s="11"/>
      <c r="F10" s="11"/>
      <c r="G10" s="11"/>
    </row>
    <row r="11" spans="1:7" x14ac:dyDescent="0.25">
      <c r="A11" s="210" t="str">
        <f>'1. паспорт местоположение'!A12:C12</f>
        <v>I_Che223_18</v>
      </c>
      <c r="B11" s="210"/>
      <c r="C11" s="210"/>
      <c r="D11" s="210"/>
      <c r="E11" s="210"/>
      <c r="F11" s="210"/>
      <c r="G11" s="210"/>
    </row>
    <row r="12" spans="1:7" x14ac:dyDescent="0.25">
      <c r="A12" s="206" t="s">
        <v>3</v>
      </c>
      <c r="B12" s="206"/>
      <c r="C12" s="206"/>
      <c r="D12" s="206"/>
      <c r="E12" s="206"/>
      <c r="F12" s="206"/>
      <c r="G12" s="206"/>
    </row>
    <row r="13" spans="1:7" ht="16.5" customHeight="1" x14ac:dyDescent="0.25">
      <c r="A13" s="9"/>
      <c r="B13" s="9"/>
      <c r="C13" s="9"/>
      <c r="D13" s="9"/>
      <c r="E13" s="9"/>
      <c r="F13" s="9"/>
      <c r="G13" s="9"/>
    </row>
    <row r="14" spans="1:7" x14ac:dyDescent="0.25">
      <c r="A14" s="210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4" s="210"/>
      <c r="C14" s="210"/>
      <c r="D14" s="210"/>
      <c r="E14" s="210"/>
      <c r="F14" s="210"/>
      <c r="G14" s="210"/>
    </row>
    <row r="15" spans="1:7" ht="15.75" customHeight="1" x14ac:dyDescent="0.25">
      <c r="A15" s="206" t="s">
        <v>2</v>
      </c>
      <c r="B15" s="206"/>
      <c r="C15" s="206"/>
      <c r="D15" s="206"/>
      <c r="E15" s="206"/>
      <c r="F15" s="206"/>
      <c r="G15" s="206"/>
    </row>
    <row r="16" spans="1:7" x14ac:dyDescent="0.25">
      <c r="A16" s="289"/>
      <c r="B16" s="289"/>
      <c r="C16" s="289"/>
      <c r="D16" s="289"/>
      <c r="E16" s="289"/>
      <c r="F16" s="289"/>
      <c r="G16" s="289"/>
    </row>
    <row r="17" spans="1:11" x14ac:dyDescent="0.25">
      <c r="A17" s="36"/>
    </row>
    <row r="18" spans="1:11" x14ac:dyDescent="0.25">
      <c r="A18" s="293" t="s">
        <v>251</v>
      </c>
      <c r="B18" s="293"/>
      <c r="C18" s="293"/>
      <c r="D18" s="293"/>
      <c r="E18" s="293"/>
      <c r="F18" s="293"/>
      <c r="G18" s="293"/>
    </row>
    <row r="19" spans="1:11" x14ac:dyDescent="0.25">
      <c r="A19" s="36"/>
      <c r="B19" s="36"/>
      <c r="C19" s="36"/>
      <c r="D19" s="36"/>
      <c r="E19" s="36"/>
      <c r="F19" s="36"/>
    </row>
    <row r="20" spans="1:11" ht="33" customHeight="1" x14ac:dyDescent="0.25">
      <c r="A20" s="290" t="s">
        <v>100</v>
      </c>
      <c r="B20" s="290" t="s">
        <v>99</v>
      </c>
      <c r="C20" s="272" t="s">
        <v>98</v>
      </c>
      <c r="D20" s="272"/>
      <c r="E20" s="292" t="s">
        <v>97</v>
      </c>
      <c r="F20" s="292"/>
      <c r="G20" s="294" t="s">
        <v>473</v>
      </c>
      <c r="H20" s="284" t="s">
        <v>470</v>
      </c>
      <c r="I20" s="284"/>
      <c r="J20" s="284"/>
      <c r="K20" s="284"/>
    </row>
    <row r="21" spans="1:11" ht="46.5" customHeight="1" x14ac:dyDescent="0.25">
      <c r="A21" s="291"/>
      <c r="B21" s="291"/>
      <c r="C21" s="272"/>
      <c r="D21" s="272"/>
      <c r="E21" s="292"/>
      <c r="F21" s="292"/>
      <c r="G21" s="295"/>
      <c r="H21" s="272" t="s">
        <v>0</v>
      </c>
      <c r="I21" s="272"/>
      <c r="J21" s="272" t="s">
        <v>439</v>
      </c>
      <c r="K21" s="272"/>
    </row>
    <row r="22" spans="1:11" ht="89.25" customHeight="1" x14ac:dyDescent="0.25">
      <c r="A22" s="279"/>
      <c r="B22" s="279"/>
      <c r="C22" s="195" t="s">
        <v>0</v>
      </c>
      <c r="D22" s="195" t="s">
        <v>439</v>
      </c>
      <c r="E22" s="196" t="s">
        <v>474</v>
      </c>
      <c r="F22" s="174" t="s">
        <v>475</v>
      </c>
      <c r="G22" s="296"/>
      <c r="H22" s="49" t="s">
        <v>240</v>
      </c>
      <c r="I22" s="49" t="s">
        <v>241</v>
      </c>
      <c r="J22" s="49" t="s">
        <v>240</v>
      </c>
      <c r="K22" s="49" t="s">
        <v>241</v>
      </c>
    </row>
    <row r="23" spans="1:11" ht="19.5" customHeight="1" x14ac:dyDescent="0.25">
      <c r="A23" s="42">
        <v>1</v>
      </c>
      <c r="B23" s="42">
        <v>2</v>
      </c>
      <c r="C23" s="194">
        <v>3</v>
      </c>
      <c r="D23" s="194">
        <v>4</v>
      </c>
      <c r="E23" s="194">
        <v>5</v>
      </c>
      <c r="F23" s="194">
        <v>6</v>
      </c>
      <c r="G23" s="194">
        <v>7</v>
      </c>
      <c r="H23" s="194">
        <v>12</v>
      </c>
      <c r="I23" s="194">
        <v>13</v>
      </c>
      <c r="J23" s="194">
        <v>14</v>
      </c>
      <c r="K23" s="194">
        <v>15</v>
      </c>
    </row>
    <row r="24" spans="1:11" s="129" customFormat="1" ht="52.5" customHeight="1" x14ac:dyDescent="0.25">
      <c r="A24" s="47">
        <v>1</v>
      </c>
      <c r="B24" s="46" t="s">
        <v>96</v>
      </c>
      <c r="C24" s="75" t="str">
        <f>VLOOKUP($A$11,'[1]6.2. отчет'!$D:$K,2,0)</f>
        <v>нд</v>
      </c>
      <c r="D24" s="75">
        <f>VLOOKUP($A$11,'[1]6.2. отчет'!$D:$K,5,0)</f>
        <v>7.1219837199999997E-2</v>
      </c>
      <c r="E24" s="75">
        <f>VLOOKUP($A$11,'[1]6.2. отчет'!$D:$K,7,0)</f>
        <v>3.4158000000000001E-3</v>
      </c>
      <c r="F24" s="75">
        <f>VLOOKUP($A$11,'[1]6.2. отчет'!$D:$K,8,0)</f>
        <v>3.4158000000000001E-3</v>
      </c>
      <c r="G24" s="75">
        <f>VLOOKUP($A$11,'[1]6.2. отчет'!$D:$BL,9,0)</f>
        <v>0</v>
      </c>
      <c r="H24" s="75" t="str">
        <f>VLOOKUP($A$11,'[1]6.2. отчет'!$D:$BL,15,0)</f>
        <v>нд</v>
      </c>
      <c r="I24" s="75" t="str">
        <f>VLOOKUP($A$11,'[1]6.2. отчет'!$D:$CU,45,0)</f>
        <v>нд</v>
      </c>
      <c r="J24" s="75">
        <f>VLOOKUP($A$11,'[1]6.2. отчет'!$D:$BL,56,0)</f>
        <v>0</v>
      </c>
      <c r="K24" s="75">
        <f>VLOOKUP($A$11,'[1]6.2. отчет'!$D:$CU,86,0)</f>
        <v>0</v>
      </c>
    </row>
    <row r="25" spans="1:11" s="129" customFormat="1" ht="23.25" customHeight="1" x14ac:dyDescent="0.25">
      <c r="A25" s="44" t="s">
        <v>95</v>
      </c>
      <c r="B25" s="33" t="s">
        <v>94</v>
      </c>
      <c r="C25" s="75" t="str">
        <f t="shared" ref="C25:C26" si="0">H25</f>
        <v>нд</v>
      </c>
      <c r="D25" s="75">
        <f>G25+J25</f>
        <v>0</v>
      </c>
      <c r="E25" s="75">
        <f t="shared" ref="E25:E28" si="1">F25+G25</f>
        <v>0</v>
      </c>
      <c r="F25" s="75">
        <f t="shared" ref="F25:F26" si="2">J25</f>
        <v>0</v>
      </c>
      <c r="G25" s="75">
        <f>VLOOKUP($A$11,'[1]6.2. отчет'!$D:$BL,10,0)</f>
        <v>0</v>
      </c>
      <c r="H25" s="75" t="str">
        <f>VLOOKUP($A$11,'[1]6.2. отчет'!$D:$BL,16,0)</f>
        <v>нд</v>
      </c>
      <c r="I25" s="75" t="str">
        <f>IF(H25=0,0,VLOOKUP($A$11,'[1]6.2. отчет'!$D:$CU,46,0))</f>
        <v>нд</v>
      </c>
      <c r="J25" s="75">
        <f>VLOOKUP($A$11,'[1]6.2. отчет'!$D:$BL,57,0)</f>
        <v>0</v>
      </c>
      <c r="K25" s="75">
        <f>IF(J25=0,0,VLOOKUP($A$11,'[1]6.2. отчет'!$D:$CU,87,0))</f>
        <v>0</v>
      </c>
    </row>
    <row r="26" spans="1:11" s="129" customFormat="1" ht="21" customHeight="1" x14ac:dyDescent="0.25">
      <c r="A26" s="44" t="s">
        <v>93</v>
      </c>
      <c r="B26" s="33" t="s">
        <v>92</v>
      </c>
      <c r="C26" s="75" t="str">
        <f t="shared" si="0"/>
        <v>нд</v>
      </c>
      <c r="D26" s="75">
        <f>G26+J26</f>
        <v>0</v>
      </c>
      <c r="E26" s="75">
        <f t="shared" si="1"/>
        <v>0</v>
      </c>
      <c r="F26" s="75">
        <f t="shared" si="2"/>
        <v>0</v>
      </c>
      <c r="G26" s="75">
        <f>VLOOKUP($A$11,'[1]6.2. отчет'!$D:$BL,11,0)</f>
        <v>0</v>
      </c>
      <c r="H26" s="75" t="str">
        <f>VLOOKUP($A$11,'[1]6.2. отчет'!$D:$BL,17,0)</f>
        <v>нд</v>
      </c>
      <c r="I26" s="75" t="str">
        <f>IF(H26=0,0,VLOOKUP($A$11,'[1]6.2. отчет'!$D:$CU,47,0))</f>
        <v>нд</v>
      </c>
      <c r="J26" s="75">
        <f>VLOOKUP($A$11,'[1]6.2. отчет'!$D:$BL,58,0)</f>
        <v>0</v>
      </c>
      <c r="K26" s="75">
        <f>IF(J26=0,0,VLOOKUP($A$11,'[1]6.2. отчет'!$D:$CU,88,0))</f>
        <v>0</v>
      </c>
    </row>
    <row r="27" spans="1:11" s="129" customFormat="1" ht="36.75" customHeight="1" x14ac:dyDescent="0.25">
      <c r="A27" s="44" t="s">
        <v>91</v>
      </c>
      <c r="B27" s="33" t="s">
        <v>199</v>
      </c>
      <c r="C27" s="75" t="str">
        <f>IF(C24="нд","нд",C24-(C29+C28+C26+C25))</f>
        <v>нд</v>
      </c>
      <c r="D27" s="75">
        <f>G27+J27+D24-(G24+J24)</f>
        <v>7.1219837199999997E-2</v>
      </c>
      <c r="E27" s="75">
        <f>F27+G27</f>
        <v>3.4158000000000001E-3</v>
      </c>
      <c r="F27" s="75">
        <f>F24-(F25+F26+F28+F29)</f>
        <v>3.4158000000000001E-3</v>
      </c>
      <c r="G27" s="75">
        <f>VLOOKUP($A$11,'[1]6.2. отчет'!$D:$BL,12,0)</f>
        <v>0</v>
      </c>
      <c r="H27" s="75" t="str">
        <f>VLOOKUP($A$11,'[1]6.2. отчет'!$D:$BL,18,0)</f>
        <v>нд</v>
      </c>
      <c r="I27" s="75" t="str">
        <f>IF(H27=0,0,VLOOKUP($A$11,'[1]6.2. отчет'!$D:$CU,48,0))</f>
        <v>нд</v>
      </c>
      <c r="J27" s="75">
        <f>VLOOKUP($A$11,'[1]6.2. отчет'!$D:$BL,59,0)</f>
        <v>0</v>
      </c>
      <c r="K27" s="75">
        <f>IF(J27=0,0,VLOOKUP($A$11,'[1]6.2. отчет'!$D:$CU,89,0))</f>
        <v>0</v>
      </c>
    </row>
    <row r="28" spans="1:11" s="129" customFormat="1" ht="22.5" customHeight="1" x14ac:dyDescent="0.25">
      <c r="A28" s="44" t="s">
        <v>90</v>
      </c>
      <c r="B28" s="33" t="s">
        <v>89</v>
      </c>
      <c r="C28" s="75" t="str">
        <f>H28</f>
        <v>нд</v>
      </c>
      <c r="D28" s="75">
        <f t="shared" ref="D28:D29" si="3">G28+J28</f>
        <v>0</v>
      </c>
      <c r="E28" s="75">
        <f t="shared" si="1"/>
        <v>0</v>
      </c>
      <c r="F28" s="75">
        <v>0</v>
      </c>
      <c r="G28" s="75">
        <f>VLOOKUP($A$11,'[1]6.2. отчет'!$D:$BL,13,0)</f>
        <v>0</v>
      </c>
      <c r="H28" s="75" t="str">
        <f>VLOOKUP($A$11,'[1]6.2. отчет'!$D:$BL,19,0)</f>
        <v>нд</v>
      </c>
      <c r="I28" s="75" t="str">
        <f>IF(H28=0,0,VLOOKUP($A$11,'[1]6.2. отчет'!$D:$CU,49,0))</f>
        <v>нд</v>
      </c>
      <c r="J28" s="75">
        <f>VLOOKUP($A$11,'[1]6.2. отчет'!$D:$BL,60,0)</f>
        <v>0</v>
      </c>
      <c r="K28" s="75">
        <f>IF(J28=0,0,VLOOKUP($A$11,'[1]6.2. отчет'!$D:$CU,90,0))</f>
        <v>0</v>
      </c>
    </row>
    <row r="29" spans="1:11" s="129" customFormat="1" ht="19.5" customHeight="1" x14ac:dyDescent="0.25">
      <c r="A29" s="44" t="s">
        <v>88</v>
      </c>
      <c r="B29" s="48" t="s">
        <v>87</v>
      </c>
      <c r="C29" s="75" t="str">
        <f>H29</f>
        <v>нд</v>
      </c>
      <c r="D29" s="75">
        <f t="shared" si="3"/>
        <v>0</v>
      </c>
      <c r="E29" s="75">
        <f>F29+G29</f>
        <v>0</v>
      </c>
      <c r="F29" s="75">
        <v>0</v>
      </c>
      <c r="G29" s="75">
        <f>VLOOKUP($A$11,'[1]6.2. отчет'!$D:$BL,14,0)</f>
        <v>0</v>
      </c>
      <c r="H29" s="75" t="str">
        <f>VLOOKUP($A$11,'[1]6.2. отчет'!$D:$BL,20,0)</f>
        <v>нд</v>
      </c>
      <c r="I29" s="75" t="str">
        <f>IF(H29=0,0,VLOOKUP($A$11,'[1]6.2. отчет'!$D:$CU,50,0))</f>
        <v>нд</v>
      </c>
      <c r="J29" s="75">
        <f>VLOOKUP($A$11,'[1]6.2. отчет'!$D:$BL,61,0)</f>
        <v>0</v>
      </c>
      <c r="K29" s="75">
        <f>IF(J29=0,0,VLOOKUP($A$11,'[1]6.2. отчет'!$D:$CU,91,0))</f>
        <v>0</v>
      </c>
    </row>
    <row r="30" spans="1:11" s="129" customFormat="1" ht="47.25" x14ac:dyDescent="0.25">
      <c r="A30" s="47" t="s">
        <v>17</v>
      </c>
      <c r="B30" s="46" t="s">
        <v>86</v>
      </c>
      <c r="C30" s="75" t="str">
        <f>VLOOKUP($A$11,'[1]6.2. отчет'!$D:$DB,99,0)</f>
        <v>нд</v>
      </c>
      <c r="D30" s="75">
        <f>VLOOKUP($A$11,'[1]6.2. отчет'!$D:$FK,106,0)</f>
        <v>6.3250539999999994E-2</v>
      </c>
      <c r="E30" s="75">
        <f>VLOOKUP($A$11,'[1]6.2. отчет'!$D:$FK,108,0)</f>
        <v>6.3250539999999994E-2</v>
      </c>
      <c r="F30" s="75">
        <f>VLOOKUP($A$11,'[1]6.2. отчет'!$D:$FK,109,0)</f>
        <v>0</v>
      </c>
      <c r="G30" s="75">
        <f>VLOOKUP($A$11,'[1]6.2. отчет'!$D:$FK,110,0)</f>
        <v>6.3250539999999994E-2</v>
      </c>
      <c r="H30" s="75" t="str">
        <f>VLOOKUP($A$11,'[1]6.2. отчет'!$D:$FK,115,0)</f>
        <v>нд</v>
      </c>
      <c r="I30" s="75" t="str">
        <f>VLOOKUP($A$11,'[1]6.2. отчет'!$D:$AGP,124,0)</f>
        <v>нд</v>
      </c>
      <c r="J30" s="75">
        <f>VLOOKUP($A$11,'[1]6.2. отчет'!$D:$FK,130,0)</f>
        <v>0</v>
      </c>
      <c r="K30" s="75">
        <f>VLOOKUP($A$11,'[1]6.2. отчет'!$D:$FK,155,0)</f>
        <v>0</v>
      </c>
    </row>
    <row r="31" spans="1:11" s="129" customFormat="1" ht="21" customHeight="1" x14ac:dyDescent="0.25">
      <c r="A31" s="47" t="s">
        <v>85</v>
      </c>
      <c r="B31" s="33" t="s">
        <v>84</v>
      </c>
      <c r="C31" s="75" t="str">
        <f>VLOOKUP($A$11,'[1]6.2. отчет'!$D:$DB,100,0)</f>
        <v>нд</v>
      </c>
      <c r="D31" s="75" t="str">
        <f>C31</f>
        <v>нд</v>
      </c>
      <c r="E31" s="75">
        <f>F31+G31</f>
        <v>0</v>
      </c>
      <c r="F31" s="75">
        <f>J31</f>
        <v>0</v>
      </c>
      <c r="G31" s="75">
        <f>VLOOKUP($A$11,'[1]6.2. отчет'!$D:$FK,111,0)</f>
        <v>0</v>
      </c>
      <c r="H31" s="75" t="str">
        <f>C31</f>
        <v>нд</v>
      </c>
      <c r="I31" s="75" t="str">
        <f>D31</f>
        <v>нд</v>
      </c>
      <c r="J31" s="75">
        <f>VLOOKUP($A$11,'[1]6.2. отчет'!$D:$FK,131,0)</f>
        <v>0</v>
      </c>
      <c r="K31" s="75">
        <f>IF(J31=0,0,VLOOKUP($A$11,'[1]6.2. отчет'!$D:$FK,156,0))</f>
        <v>0</v>
      </c>
    </row>
    <row r="32" spans="1:11" s="129" customFormat="1" ht="31.5" x14ac:dyDescent="0.25">
      <c r="A32" s="47" t="s">
        <v>83</v>
      </c>
      <c r="B32" s="33" t="s">
        <v>82</v>
      </c>
      <c r="C32" s="75" t="str">
        <f>VLOOKUP($A$11,'[1]6.2. отчет'!$D:$DB,101,0)</f>
        <v>нд</v>
      </c>
      <c r="D32" s="75" t="str">
        <f t="shared" ref="D32:D34" si="4">C32</f>
        <v>нд</v>
      </c>
      <c r="E32" s="75">
        <f t="shared" ref="E32:E57" si="5">F32+G32</f>
        <v>3.4158000000000001E-3</v>
      </c>
      <c r="F32" s="75">
        <f t="shared" ref="F32:F64" si="6">J32</f>
        <v>0</v>
      </c>
      <c r="G32" s="75">
        <f>VLOOKUP($A$11,'[1]6.2. отчет'!$D:$FK,112,0)</f>
        <v>3.4158000000000001E-3</v>
      </c>
      <c r="H32" s="75" t="str">
        <f t="shared" ref="H32:I34" si="7">C32</f>
        <v>нд</v>
      </c>
      <c r="I32" s="75" t="str">
        <f t="shared" si="7"/>
        <v>нд</v>
      </c>
      <c r="J32" s="75">
        <f>VLOOKUP($A$11,'[1]6.2. отчет'!$D:$FK,132,0)</f>
        <v>0</v>
      </c>
      <c r="K32" s="75">
        <f>IF(J32=0,0,VLOOKUP($A$11,'[1]6.2. отчет'!$D:$FK,157,0))</f>
        <v>0</v>
      </c>
    </row>
    <row r="33" spans="1:11" s="129" customFormat="1" ht="21.75" customHeight="1" x14ac:dyDescent="0.25">
      <c r="A33" s="47" t="s">
        <v>81</v>
      </c>
      <c r="B33" s="33" t="s">
        <v>80</v>
      </c>
      <c r="C33" s="75" t="str">
        <f>VLOOKUP($A$11,'[1]6.2. отчет'!$D:$DB,102,0)</f>
        <v>нд</v>
      </c>
      <c r="D33" s="75" t="str">
        <f t="shared" si="4"/>
        <v>нд</v>
      </c>
      <c r="E33" s="75">
        <f t="shared" si="5"/>
        <v>5.9834739999999997E-2</v>
      </c>
      <c r="F33" s="75">
        <f t="shared" si="6"/>
        <v>0</v>
      </c>
      <c r="G33" s="75">
        <f>VLOOKUP($A$11,'[1]6.2. отчет'!$D:$FK,113,0)</f>
        <v>5.9834739999999997E-2</v>
      </c>
      <c r="H33" s="75" t="str">
        <f t="shared" si="7"/>
        <v>нд</v>
      </c>
      <c r="I33" s="75" t="str">
        <f t="shared" si="7"/>
        <v>нд</v>
      </c>
      <c r="J33" s="75">
        <f>VLOOKUP($A$11,'[1]6.2. отчет'!$D:$FK,133,0)</f>
        <v>0</v>
      </c>
      <c r="K33" s="75">
        <f>IF(J33=0,0,VLOOKUP($A$11,'[1]6.2. отчет'!$D:$FK,158,0))</f>
        <v>0</v>
      </c>
    </row>
    <row r="34" spans="1:11" s="129" customFormat="1" ht="21.75" customHeight="1" x14ac:dyDescent="0.25">
      <c r="A34" s="47" t="s">
        <v>79</v>
      </c>
      <c r="B34" s="33" t="s">
        <v>78</v>
      </c>
      <c r="C34" s="75" t="str">
        <f>VLOOKUP($A$11,'[1]6.2. отчет'!$D:$DB,103,0)</f>
        <v>нд</v>
      </c>
      <c r="D34" s="75" t="str">
        <f t="shared" si="4"/>
        <v>нд</v>
      </c>
      <c r="E34" s="75">
        <f t="shared" si="5"/>
        <v>0</v>
      </c>
      <c r="F34" s="75">
        <f t="shared" si="6"/>
        <v>0</v>
      </c>
      <c r="G34" s="75">
        <f>VLOOKUP($A$11,'[1]6.2. отчет'!$D:$FK,114,0)</f>
        <v>0</v>
      </c>
      <c r="H34" s="75" t="str">
        <f t="shared" si="7"/>
        <v>нд</v>
      </c>
      <c r="I34" s="75" t="str">
        <f t="shared" si="7"/>
        <v>нд</v>
      </c>
      <c r="J34" s="75">
        <f>VLOOKUP($A$11,'[1]6.2. отчет'!$D:$FK,134,0)</f>
        <v>0</v>
      </c>
      <c r="K34" s="75">
        <f>IF(J34=0,0,VLOOKUP($A$11,'[1]6.2. отчет'!$D:$FK,159,0))</f>
        <v>0</v>
      </c>
    </row>
    <row r="35" spans="1:11" s="129" customFormat="1" ht="31.5" x14ac:dyDescent="0.25">
      <c r="A35" s="47" t="s">
        <v>16</v>
      </c>
      <c r="B35" s="46" t="s">
        <v>77</v>
      </c>
      <c r="C35" s="75"/>
      <c r="D35" s="75"/>
      <c r="E35" s="75"/>
      <c r="F35" s="75">
        <f t="shared" si="6"/>
        <v>0</v>
      </c>
      <c r="G35" s="75"/>
      <c r="H35" s="75"/>
      <c r="I35" s="198"/>
      <c r="J35" s="75"/>
      <c r="K35" s="198"/>
    </row>
    <row r="36" spans="1:11" s="129" customFormat="1" ht="31.5" x14ac:dyDescent="0.25">
      <c r="A36" s="44" t="s">
        <v>76</v>
      </c>
      <c r="B36" s="43" t="s">
        <v>75</v>
      </c>
      <c r="C36" s="75" t="str">
        <f>VLOOKUP($A$11,'[1]6.2. отчет'!$D:$FX,168,0)</f>
        <v>нд</v>
      </c>
      <c r="D36" s="75">
        <v>0</v>
      </c>
      <c r="E36" s="75">
        <f t="shared" si="5"/>
        <v>0</v>
      </c>
      <c r="F36" s="75">
        <f t="shared" si="6"/>
        <v>0</v>
      </c>
      <c r="G36" s="75">
        <f>VLOOKUP($A$11,'[1]6.2. отчет'!$D:$GJ,180,0)</f>
        <v>0</v>
      </c>
      <c r="H36" s="75" t="str">
        <f>VLOOKUP($A$11,'[1]6.2. отчет'!$D:$AGO,191,0)</f>
        <v>нд</v>
      </c>
      <c r="I36" s="75" t="str">
        <f>VLOOKUP($A$11,'[1]6.2. отчет'!$D:$AGO,246,0)</f>
        <v>нд</v>
      </c>
      <c r="J36" s="75">
        <f>VLOOKUP($A$11,'[1]6.2. отчет'!$D:$AGO,257,0)</f>
        <v>0</v>
      </c>
      <c r="K36" s="75">
        <f>VLOOKUP($A$11,'[1]6.2. отчет'!$D:$AGO,312,0)</f>
        <v>0</v>
      </c>
    </row>
    <row r="37" spans="1:11" s="129" customFormat="1" x14ac:dyDescent="0.25">
      <c r="A37" s="44" t="s">
        <v>74</v>
      </c>
      <c r="B37" s="43" t="s">
        <v>64</v>
      </c>
      <c r="C37" s="75" t="str">
        <f>VLOOKUP($A$11,'[1]6.2. отчет'!$D:$FX,169,0)</f>
        <v>нд</v>
      </c>
      <c r="D37" s="75">
        <v>0</v>
      </c>
      <c r="E37" s="75">
        <f t="shared" si="5"/>
        <v>0</v>
      </c>
      <c r="F37" s="75">
        <f t="shared" si="6"/>
        <v>0</v>
      </c>
      <c r="G37" s="75">
        <f>VLOOKUP($A$11,'[1]6.2. отчет'!$D:$GJ,181,0)</f>
        <v>0</v>
      </c>
      <c r="H37" s="75" t="str">
        <f>VLOOKUP($A$11,'[1]6.2. отчет'!$D:$AGO,192,0)</f>
        <v>нд</v>
      </c>
      <c r="I37" s="75" t="str">
        <f>VLOOKUP($A$11,'[1]6.2. отчет'!$D:$AGO,247,0)</f>
        <v>нд</v>
      </c>
      <c r="J37" s="75">
        <f>VLOOKUP($A$11,'[1]6.2. отчет'!$D:$AGO,258,0)</f>
        <v>0</v>
      </c>
      <c r="K37" s="75">
        <f>VLOOKUP($A$11,'[1]6.2. отчет'!$D:$AGO,313,0)</f>
        <v>0</v>
      </c>
    </row>
    <row r="38" spans="1:11" s="129" customFormat="1" x14ac:dyDescent="0.25">
      <c r="A38" s="44" t="s">
        <v>73</v>
      </c>
      <c r="B38" s="43" t="s">
        <v>62</v>
      </c>
      <c r="C38" s="75" t="str">
        <f>VLOOKUP($A$11,'[1]6.2. отчет'!$D:$FX,170,0)</f>
        <v>нд</v>
      </c>
      <c r="D38" s="75">
        <v>0</v>
      </c>
      <c r="E38" s="75">
        <f t="shared" si="5"/>
        <v>0</v>
      </c>
      <c r="F38" s="75">
        <f t="shared" si="6"/>
        <v>0</v>
      </c>
      <c r="G38" s="75">
        <f>VLOOKUP($A$11,'[1]6.2. отчет'!$D:$GJ,182,0)</f>
        <v>0</v>
      </c>
      <c r="H38" s="75" t="str">
        <f>VLOOKUP($A$11,'[1]6.2. отчет'!$D:$AGO,193,0)</f>
        <v>нд</v>
      </c>
      <c r="I38" s="75" t="str">
        <f>VLOOKUP($A$11,'[1]6.2. отчет'!$D:$AGO,248,0)</f>
        <v>нд</v>
      </c>
      <c r="J38" s="75">
        <f>VLOOKUP($A$11,'[1]6.2. отчет'!$D:$AGO,259,0)</f>
        <v>0</v>
      </c>
      <c r="K38" s="75">
        <f>VLOOKUP($A$11,'[1]6.2. отчет'!$D:$AGO,314,0)</f>
        <v>0</v>
      </c>
    </row>
    <row r="39" spans="1:11" s="129" customFormat="1" ht="31.5" x14ac:dyDescent="0.25">
      <c r="A39" s="44" t="s">
        <v>72</v>
      </c>
      <c r="B39" s="33" t="s">
        <v>60</v>
      </c>
      <c r="C39" s="75" t="str">
        <f>VLOOKUP($A$11,'[1]6.2. отчет'!$D:$FX,172,0)</f>
        <v>нд</v>
      </c>
      <c r="D39" s="75">
        <v>0</v>
      </c>
      <c r="E39" s="75">
        <f t="shared" si="5"/>
        <v>0</v>
      </c>
      <c r="F39" s="75">
        <f t="shared" si="6"/>
        <v>0</v>
      </c>
      <c r="G39" s="75">
        <f>VLOOKUP($A$11,'[1]6.2. отчет'!$D:$GJ,184,0)</f>
        <v>0</v>
      </c>
      <c r="H39" s="75" t="str">
        <f>VLOOKUP($A$11,'[1]6.2. отчет'!$D:$AGO,195,0)</f>
        <v>нд</v>
      </c>
      <c r="I39" s="75" t="str">
        <f>VLOOKUP($A$11,'[1]6.2. отчет'!$D:$AGO,250,0)</f>
        <v>нд</v>
      </c>
      <c r="J39" s="75">
        <f>VLOOKUP($A$11,'[1]6.2. отчет'!$D:$AGO,261,0)</f>
        <v>0</v>
      </c>
      <c r="K39" s="75">
        <f>VLOOKUP($A$11,'[1]6.2. отчет'!$D:$AGO,316,0)</f>
        <v>0</v>
      </c>
    </row>
    <row r="40" spans="1:11" s="129" customFormat="1" ht="31.5" x14ac:dyDescent="0.25">
      <c r="A40" s="44" t="s">
        <v>71</v>
      </c>
      <c r="B40" s="33" t="s">
        <v>58</v>
      </c>
      <c r="C40" s="75" t="str">
        <f>VLOOKUP($A$11,'[1]6.2. отчет'!$D:$FX,173,0)</f>
        <v>нд</v>
      </c>
      <c r="D40" s="75">
        <v>0</v>
      </c>
      <c r="E40" s="75">
        <f t="shared" si="5"/>
        <v>0</v>
      </c>
      <c r="F40" s="75">
        <f t="shared" si="6"/>
        <v>0</v>
      </c>
      <c r="G40" s="75">
        <f>VLOOKUP($A$11,'[1]6.2. отчет'!$D:$GJ,185,0)</f>
        <v>0</v>
      </c>
      <c r="H40" s="75" t="str">
        <f>VLOOKUP($A$11,'[1]6.2. отчет'!$D:$AGO,196,0)</f>
        <v>нд</v>
      </c>
      <c r="I40" s="75" t="str">
        <f>VLOOKUP($A$11,'[1]6.2. отчет'!$D:$AGO,251,0)</f>
        <v>нд</v>
      </c>
      <c r="J40" s="75">
        <f>VLOOKUP($A$11,'[1]6.2. отчет'!$D:$AGO,262,0)</f>
        <v>0</v>
      </c>
      <c r="K40" s="75">
        <f>VLOOKUP($A$11,'[1]6.2. отчет'!$D:$AGO,317,0)</f>
        <v>0</v>
      </c>
    </row>
    <row r="41" spans="1:11" s="129" customFormat="1" x14ac:dyDescent="0.25">
      <c r="A41" s="44" t="s">
        <v>70</v>
      </c>
      <c r="B41" s="33" t="s">
        <v>56</v>
      </c>
      <c r="C41" s="75" t="str">
        <f>VLOOKUP($A$11,'[1]6.2. отчет'!$D:$FX,174,0)</f>
        <v>нд</v>
      </c>
      <c r="D41" s="75">
        <v>0</v>
      </c>
      <c r="E41" s="75">
        <f t="shared" si="5"/>
        <v>0</v>
      </c>
      <c r="F41" s="75">
        <f t="shared" si="6"/>
        <v>0</v>
      </c>
      <c r="G41" s="75">
        <f>VLOOKUP($A$11,'[1]6.2. отчет'!$D:$GJ,186,0)</f>
        <v>0</v>
      </c>
      <c r="H41" s="75" t="str">
        <f>VLOOKUP($A$11,'[1]6.2. отчет'!$D:$AGO,197,0)</f>
        <v>нд</v>
      </c>
      <c r="I41" s="75" t="str">
        <f>VLOOKUP($A$11,'[1]6.2. отчет'!$D:$AGO,252,0)</f>
        <v>нд</v>
      </c>
      <c r="J41" s="75">
        <f>VLOOKUP($A$11,'[1]6.2. отчет'!$D:$AGO,263,0)</f>
        <v>0</v>
      </c>
      <c r="K41" s="75">
        <f>VLOOKUP($A$11,'[1]6.2. отчет'!$D:$AGO,318,0)</f>
        <v>0</v>
      </c>
    </row>
    <row r="42" spans="1:11" s="129" customFormat="1" x14ac:dyDescent="0.25">
      <c r="A42" s="44" t="s">
        <v>69</v>
      </c>
      <c r="B42" s="193" t="s">
        <v>471</v>
      </c>
      <c r="C42" s="75" t="str">
        <f>VLOOKUP($A$11,'[1]6.2. отчет'!$D:$FX,177,0)</f>
        <v>нд</v>
      </c>
      <c r="D42" s="75">
        <v>0</v>
      </c>
      <c r="E42" s="75">
        <f t="shared" si="5"/>
        <v>2</v>
      </c>
      <c r="F42" s="75">
        <f t="shared" si="6"/>
        <v>2</v>
      </c>
      <c r="G42" s="75">
        <f>VLOOKUP($A$11,'[1]6.2. отчет'!$D:$GJ,189,0)</f>
        <v>0</v>
      </c>
      <c r="H42" s="75" t="str">
        <f>VLOOKUP($A$11,'[1]6.2. отчет'!$D:$AGO,200,0)</f>
        <v>нд</v>
      </c>
      <c r="I42" s="75" t="str">
        <f>VLOOKUP($A$11,'[1]6.2. отчет'!$D:$AGO,255,0)</f>
        <v>нд</v>
      </c>
      <c r="J42" s="75">
        <f>VLOOKUP($A$11,'[1]6.2. отчет'!$D:$AGO,266,0)</f>
        <v>2</v>
      </c>
      <c r="K42" s="75">
        <f>VLOOKUP($A$11,'[1]6.2. отчет'!$D:$AGO,321,0)</f>
        <v>2</v>
      </c>
    </row>
    <row r="43" spans="1:11" s="129" customFormat="1" x14ac:dyDescent="0.25">
      <c r="A43" s="47" t="s">
        <v>15</v>
      </c>
      <c r="B43" s="46" t="s">
        <v>68</v>
      </c>
      <c r="C43" s="75"/>
      <c r="D43" s="75"/>
      <c r="E43" s="75"/>
      <c r="F43" s="75">
        <f t="shared" si="6"/>
        <v>0</v>
      </c>
      <c r="G43" s="75"/>
      <c r="H43" s="75"/>
      <c r="I43" s="198"/>
      <c r="J43" s="75"/>
      <c r="K43" s="198"/>
    </row>
    <row r="44" spans="1:11" s="129" customFormat="1" x14ac:dyDescent="0.25">
      <c r="A44" s="44" t="s">
        <v>67</v>
      </c>
      <c r="B44" s="33" t="s">
        <v>66</v>
      </c>
      <c r="C44" s="75" t="str">
        <f>VLOOKUP($A$11,'[1]6.2. отчет'!$D:$FX,168,0)</f>
        <v>нд</v>
      </c>
      <c r="D44" s="75">
        <v>0</v>
      </c>
      <c r="E44" s="75">
        <f t="shared" si="5"/>
        <v>0</v>
      </c>
      <c r="F44" s="75">
        <f t="shared" si="6"/>
        <v>0</v>
      </c>
      <c r="G44" s="75">
        <f>VLOOKUP($A$11,'[1]6.2. отчет'!$D:$GJ,180,0)</f>
        <v>0</v>
      </c>
      <c r="H44" s="75" t="str">
        <f>VLOOKUP($A$11,'[1]6.2. отчет'!$D:$AGO,191,0)</f>
        <v>нд</v>
      </c>
      <c r="I44" s="75" t="str">
        <f>VLOOKUP($A$11,'[1]6.2. отчет'!$D:$AGO,246,0)</f>
        <v>нд</v>
      </c>
      <c r="J44" s="75">
        <f>VLOOKUP($A$11,'[1]6.2. отчет'!$D:$AGO,257,0)</f>
        <v>0</v>
      </c>
      <c r="K44" s="75">
        <f>VLOOKUP($A$11,'[1]6.2. отчет'!$D:$AGO,312,0)</f>
        <v>0</v>
      </c>
    </row>
    <row r="45" spans="1:11" s="129" customFormat="1" x14ac:dyDescent="0.25">
      <c r="A45" s="44" t="s">
        <v>65</v>
      </c>
      <c r="B45" s="33" t="s">
        <v>64</v>
      </c>
      <c r="C45" s="75" t="str">
        <f>VLOOKUP($A$11,'[1]6.2. отчет'!$D:$FX,169,0)</f>
        <v>нд</v>
      </c>
      <c r="D45" s="75">
        <v>0</v>
      </c>
      <c r="E45" s="75">
        <f t="shared" si="5"/>
        <v>0</v>
      </c>
      <c r="F45" s="75">
        <f t="shared" si="6"/>
        <v>0</v>
      </c>
      <c r="G45" s="75">
        <f>VLOOKUP($A$11,'[1]6.2. отчет'!$D:$GJ,181,0)</f>
        <v>0</v>
      </c>
      <c r="H45" s="75" t="str">
        <f>VLOOKUP($A$11,'[1]6.2. отчет'!$D:$AGO,192,0)</f>
        <v>нд</v>
      </c>
      <c r="I45" s="75" t="str">
        <f>VLOOKUP($A$11,'[1]6.2. отчет'!$D:$AGO,247,0)</f>
        <v>нд</v>
      </c>
      <c r="J45" s="75">
        <f>VLOOKUP($A$11,'[1]6.2. отчет'!$D:$AGO,258,0)</f>
        <v>0</v>
      </c>
      <c r="K45" s="75">
        <f>VLOOKUP($A$11,'[1]6.2. отчет'!$D:$AGO,313,0)</f>
        <v>0</v>
      </c>
    </row>
    <row r="46" spans="1:11" s="129" customFormat="1" x14ac:dyDescent="0.25">
      <c r="A46" s="44" t="s">
        <v>63</v>
      </c>
      <c r="B46" s="33" t="s">
        <v>62</v>
      </c>
      <c r="C46" s="75" t="str">
        <f>VLOOKUP($A$11,'[1]6.2. отчет'!$D:$FX,170,0)</f>
        <v>нд</v>
      </c>
      <c r="D46" s="75">
        <v>0</v>
      </c>
      <c r="E46" s="75">
        <f t="shared" si="5"/>
        <v>0</v>
      </c>
      <c r="F46" s="75">
        <f t="shared" si="6"/>
        <v>0</v>
      </c>
      <c r="G46" s="75">
        <f>VLOOKUP($A$11,'[1]6.2. отчет'!$D:$GJ,182,0)</f>
        <v>0</v>
      </c>
      <c r="H46" s="75" t="str">
        <f>VLOOKUP($A$11,'[1]6.2. отчет'!$D:$AGO,193,0)</f>
        <v>нд</v>
      </c>
      <c r="I46" s="75" t="str">
        <f>VLOOKUP($A$11,'[1]6.2. отчет'!$D:$AGO,248,0)</f>
        <v>нд</v>
      </c>
      <c r="J46" s="75">
        <f>VLOOKUP($A$11,'[1]6.2. отчет'!$D:$AGO,259,0)</f>
        <v>0</v>
      </c>
      <c r="K46" s="75">
        <f>VLOOKUP($A$11,'[1]6.2. отчет'!$D:$AGO,314,0)</f>
        <v>0</v>
      </c>
    </row>
    <row r="47" spans="1:11" s="129" customFormat="1" ht="31.5" x14ac:dyDescent="0.25">
      <c r="A47" s="44" t="s">
        <v>61</v>
      </c>
      <c r="B47" s="33" t="s">
        <v>60</v>
      </c>
      <c r="C47" s="75" t="str">
        <f>VLOOKUP($A$11,'[1]6.2. отчет'!$D:$FX,172,0)</f>
        <v>нд</v>
      </c>
      <c r="D47" s="75">
        <v>0</v>
      </c>
      <c r="E47" s="75">
        <f t="shared" si="5"/>
        <v>0</v>
      </c>
      <c r="F47" s="75">
        <f t="shared" si="6"/>
        <v>0</v>
      </c>
      <c r="G47" s="75">
        <f>VLOOKUP($A$11,'[1]6.2. отчет'!$D:$GJ,184,0)</f>
        <v>0</v>
      </c>
      <c r="H47" s="75" t="str">
        <f>VLOOKUP($A$11,'[1]6.2. отчет'!$D:$AGO,195,0)</f>
        <v>нд</v>
      </c>
      <c r="I47" s="75" t="str">
        <f>VLOOKUP($A$11,'[1]6.2. отчет'!$D:$AGO,250,0)</f>
        <v>нд</v>
      </c>
      <c r="J47" s="75">
        <f>VLOOKUP($A$11,'[1]6.2. отчет'!$D:$AGO,261,0)</f>
        <v>0</v>
      </c>
      <c r="K47" s="75">
        <f>VLOOKUP($A$11,'[1]6.2. отчет'!$D:$AGO,316,0)</f>
        <v>0</v>
      </c>
    </row>
    <row r="48" spans="1:11" s="129" customFormat="1" ht="31.5" x14ac:dyDescent="0.25">
      <c r="A48" s="44" t="s">
        <v>59</v>
      </c>
      <c r="B48" s="33" t="s">
        <v>58</v>
      </c>
      <c r="C48" s="75" t="str">
        <f>VLOOKUP($A$11,'[1]6.2. отчет'!$D:$FX,173,0)</f>
        <v>нд</v>
      </c>
      <c r="D48" s="75">
        <v>0</v>
      </c>
      <c r="E48" s="75">
        <f t="shared" si="5"/>
        <v>0</v>
      </c>
      <c r="F48" s="75">
        <f t="shared" si="6"/>
        <v>0</v>
      </c>
      <c r="G48" s="75">
        <f>VLOOKUP($A$11,'[1]6.2. отчет'!$D:$GJ,185,0)</f>
        <v>0</v>
      </c>
      <c r="H48" s="75" t="str">
        <f>VLOOKUP($A$11,'[1]6.2. отчет'!$D:$AGO,196,0)</f>
        <v>нд</v>
      </c>
      <c r="I48" s="75" t="str">
        <f>VLOOKUP($A$11,'[1]6.2. отчет'!$D:$AGO,251,0)</f>
        <v>нд</v>
      </c>
      <c r="J48" s="75">
        <f>VLOOKUP($A$11,'[1]6.2. отчет'!$D:$AGO,262,0)</f>
        <v>0</v>
      </c>
      <c r="K48" s="75">
        <f>VLOOKUP($A$11,'[1]6.2. отчет'!$D:$AGO,317,0)</f>
        <v>0</v>
      </c>
    </row>
    <row r="49" spans="1:11" s="129" customFormat="1" x14ac:dyDescent="0.25">
      <c r="A49" s="44" t="s">
        <v>57</v>
      </c>
      <c r="B49" s="33" t="s">
        <v>56</v>
      </c>
      <c r="C49" s="75" t="str">
        <f>VLOOKUP($A$11,'[1]6.2. отчет'!$D:$FX,174,0)</f>
        <v>нд</v>
      </c>
      <c r="D49" s="75">
        <v>0</v>
      </c>
      <c r="E49" s="75">
        <f t="shared" si="5"/>
        <v>0</v>
      </c>
      <c r="F49" s="75">
        <f t="shared" si="6"/>
        <v>0</v>
      </c>
      <c r="G49" s="75">
        <f>VLOOKUP($A$11,'[1]6.2. отчет'!$D:$GJ,186,0)</f>
        <v>0</v>
      </c>
      <c r="H49" s="75" t="str">
        <f>VLOOKUP($A$11,'[1]6.2. отчет'!$D:$AGO,197,0)</f>
        <v>нд</v>
      </c>
      <c r="I49" s="75" t="str">
        <f>VLOOKUP($A$11,'[1]6.2. отчет'!$D:$AGO,252,0)</f>
        <v>нд</v>
      </c>
      <c r="J49" s="75">
        <f>VLOOKUP($A$11,'[1]6.2. отчет'!$D:$AGO,263,0)</f>
        <v>0</v>
      </c>
      <c r="K49" s="75">
        <f>VLOOKUP($A$11,'[1]6.2. отчет'!$D:$AGO,318,0)</f>
        <v>0</v>
      </c>
    </row>
    <row r="50" spans="1:11" s="129" customFormat="1" x14ac:dyDescent="0.25">
      <c r="A50" s="44" t="s">
        <v>55</v>
      </c>
      <c r="B50" s="193" t="s">
        <v>471</v>
      </c>
      <c r="C50" s="75" t="str">
        <f>VLOOKUP($A$11,'[1]6.2. отчет'!$D:$FX,177,0)</f>
        <v>нд</v>
      </c>
      <c r="D50" s="75">
        <v>0</v>
      </c>
      <c r="E50" s="75">
        <f t="shared" si="5"/>
        <v>2</v>
      </c>
      <c r="F50" s="75">
        <f t="shared" si="6"/>
        <v>2</v>
      </c>
      <c r="G50" s="75">
        <f>VLOOKUP($A$11,'[1]6.2. отчет'!$D:$GJ,189,0)</f>
        <v>0</v>
      </c>
      <c r="H50" s="75" t="str">
        <f>VLOOKUP($A$11,'[1]6.2. отчет'!$D:$AGO,200,0)</f>
        <v>нд</v>
      </c>
      <c r="I50" s="75" t="str">
        <f>VLOOKUP($A$11,'[1]6.2. отчет'!$D:$AGO,255,0)</f>
        <v>нд</v>
      </c>
      <c r="J50" s="75">
        <f>VLOOKUP($A$11,'[1]6.2. отчет'!$D:$AGO,266,0)</f>
        <v>2</v>
      </c>
      <c r="K50" s="75">
        <f>VLOOKUP($A$11,'[1]6.2. отчет'!$D:$AGO,321,0)</f>
        <v>2</v>
      </c>
    </row>
    <row r="51" spans="1:11" s="129" customFormat="1" ht="35.25" customHeight="1" x14ac:dyDescent="0.25">
      <c r="A51" s="47" t="s">
        <v>13</v>
      </c>
      <c r="B51" s="46" t="s">
        <v>54</v>
      </c>
      <c r="C51" s="75"/>
      <c r="D51" s="75"/>
      <c r="E51" s="75"/>
      <c r="F51" s="75">
        <f t="shared" si="6"/>
        <v>0</v>
      </c>
      <c r="G51" s="75"/>
      <c r="H51" s="75"/>
      <c r="I51" s="198"/>
      <c r="J51" s="75"/>
      <c r="K51" s="198"/>
    </row>
    <row r="52" spans="1:11" s="129" customFormat="1" x14ac:dyDescent="0.25">
      <c r="A52" s="44" t="s">
        <v>53</v>
      </c>
      <c r="B52" s="33" t="s">
        <v>52</v>
      </c>
      <c r="C52" s="75" t="str">
        <f>VLOOKUP($A$11,'[1]6.2. отчет'!$D:$FX,167,0)</f>
        <v>нд</v>
      </c>
      <c r="D52" s="75">
        <v>0</v>
      </c>
      <c r="E52" s="75">
        <f t="shared" si="5"/>
        <v>6.3250539999999994E-2</v>
      </c>
      <c r="F52" s="75">
        <f t="shared" si="6"/>
        <v>6.3250539999999994E-2</v>
      </c>
      <c r="G52" s="75">
        <f>VLOOKUP($A$11,'[1]6.2. отчет'!$D:$GJ,179,0)</f>
        <v>0</v>
      </c>
      <c r="H52" s="75" t="str">
        <f>VLOOKUP($A$11,'[1]6.2. отчет'!$D:$AGO,190,0)</f>
        <v>нд</v>
      </c>
      <c r="I52" s="75" t="str">
        <f>VLOOKUP($A$11,'[1]6.2. отчет'!$D:$AGO,245,0)</f>
        <v>нд</v>
      </c>
      <c r="J52" s="75">
        <f>VLOOKUP($A$11,'[1]6.2. отчет'!$D:$AGO,256,0)</f>
        <v>6.3250539999999994E-2</v>
      </c>
      <c r="K52" s="75">
        <f>VLOOKUP($A$11,'[1]6.2. отчет'!$D:$AGO,311,0)</f>
        <v>6.3250539999999994E-2</v>
      </c>
    </row>
    <row r="53" spans="1:11" s="129" customFormat="1" x14ac:dyDescent="0.25">
      <c r="A53" s="44" t="s">
        <v>51</v>
      </c>
      <c r="B53" s="33" t="s">
        <v>45</v>
      </c>
      <c r="C53" s="75" t="str">
        <f>VLOOKUP($A$11,'[1]6.2. отчет'!$D:$FX,168,0)</f>
        <v>нд</v>
      </c>
      <c r="D53" s="75">
        <v>0</v>
      </c>
      <c r="E53" s="75">
        <f t="shared" si="5"/>
        <v>0</v>
      </c>
      <c r="F53" s="75">
        <f t="shared" si="6"/>
        <v>0</v>
      </c>
      <c r="G53" s="75">
        <f>VLOOKUP($A$11,'[1]6.2. отчет'!$D:$GJ,180,0)</f>
        <v>0</v>
      </c>
      <c r="H53" s="75" t="str">
        <f>VLOOKUP($A$11,'[1]6.2. отчет'!$D:$AGO,191,0)</f>
        <v>нд</v>
      </c>
      <c r="I53" s="75" t="str">
        <f>VLOOKUP($A$11,'[1]6.2. отчет'!$D:$AGO,246,0)</f>
        <v>нд</v>
      </c>
      <c r="J53" s="75">
        <f>VLOOKUP($A$11,'[1]6.2. отчет'!$D:$AGO,257,0)</f>
        <v>0</v>
      </c>
      <c r="K53" s="75">
        <f>VLOOKUP($A$11,'[1]6.2. отчет'!$D:$AGO,312,0)</f>
        <v>0</v>
      </c>
    </row>
    <row r="54" spans="1:11" s="129" customFormat="1" x14ac:dyDescent="0.25">
      <c r="A54" s="44" t="s">
        <v>50</v>
      </c>
      <c r="B54" s="43" t="s">
        <v>44</v>
      </c>
      <c r="C54" s="75" t="str">
        <f>VLOOKUP($A$11,'[1]6.2. отчет'!$D:$FX,169,0)</f>
        <v>нд</v>
      </c>
      <c r="D54" s="75">
        <v>0</v>
      </c>
      <c r="E54" s="75">
        <f t="shared" si="5"/>
        <v>0</v>
      </c>
      <c r="F54" s="75">
        <f t="shared" si="6"/>
        <v>0</v>
      </c>
      <c r="G54" s="75">
        <f>VLOOKUP($A$11,'[1]6.2. отчет'!$D:$GJ,181,0)</f>
        <v>0</v>
      </c>
      <c r="H54" s="75" t="str">
        <f>VLOOKUP($A$11,'[1]6.2. отчет'!$D:$AGO,192,0)</f>
        <v>нд</v>
      </c>
      <c r="I54" s="75" t="str">
        <f>VLOOKUP($A$11,'[1]6.2. отчет'!$D:$AGO,247,0)</f>
        <v>нд</v>
      </c>
      <c r="J54" s="75">
        <f>VLOOKUP($A$11,'[1]6.2. отчет'!$D:$AGO,258,0)</f>
        <v>0</v>
      </c>
      <c r="K54" s="75">
        <f>VLOOKUP($A$11,'[1]6.2. отчет'!$D:$AGO,313,0)</f>
        <v>0</v>
      </c>
    </row>
    <row r="55" spans="1:11" s="129" customFormat="1" x14ac:dyDescent="0.25">
      <c r="A55" s="44" t="s">
        <v>49</v>
      </c>
      <c r="B55" s="43" t="s">
        <v>43</v>
      </c>
      <c r="C55" s="75" t="str">
        <f>VLOOKUP($A$11,'[1]6.2. отчет'!$D:$FX,170,0)</f>
        <v>нд</v>
      </c>
      <c r="D55" s="75">
        <v>0</v>
      </c>
      <c r="E55" s="75">
        <f t="shared" si="5"/>
        <v>0</v>
      </c>
      <c r="F55" s="75">
        <f t="shared" si="6"/>
        <v>0</v>
      </c>
      <c r="G55" s="75">
        <f>VLOOKUP($A$11,'[1]6.2. отчет'!$D:$GJ,182,0)</f>
        <v>0</v>
      </c>
      <c r="H55" s="75" t="str">
        <f>VLOOKUP($A$11,'[1]6.2. отчет'!$D:$AGO,193,0)</f>
        <v>нд</v>
      </c>
      <c r="I55" s="75" t="str">
        <f>VLOOKUP($A$11,'[1]6.2. отчет'!$D:$AGO,248,0)</f>
        <v>нд</v>
      </c>
      <c r="J55" s="75">
        <f>VLOOKUP($A$11,'[1]6.2. отчет'!$D:$AGO,259,0)</f>
        <v>0</v>
      </c>
      <c r="K55" s="75">
        <f>VLOOKUP($A$11,'[1]6.2. отчет'!$D:$AGO,314,0)</f>
        <v>0</v>
      </c>
    </row>
    <row r="56" spans="1:11" s="129" customFormat="1" x14ac:dyDescent="0.25">
      <c r="A56" s="44" t="s">
        <v>48</v>
      </c>
      <c r="B56" s="43" t="s">
        <v>42</v>
      </c>
      <c r="C56" s="75" t="str">
        <f>VLOOKUP($A$11,'[1]6.2. отчет'!$D:$FX,171,0)</f>
        <v>нд</v>
      </c>
      <c r="D56" s="75">
        <v>0</v>
      </c>
      <c r="E56" s="75">
        <f t="shared" si="5"/>
        <v>0</v>
      </c>
      <c r="F56" s="75">
        <f t="shared" si="6"/>
        <v>0</v>
      </c>
      <c r="G56" s="75">
        <f>VLOOKUP($A$11,'[1]6.2. отчет'!$D:$GJ,183,0)</f>
        <v>0</v>
      </c>
      <c r="H56" s="75" t="str">
        <f>VLOOKUP($A$11,'[1]6.2. отчет'!$D:$AGO,194,0)</f>
        <v>нд</v>
      </c>
      <c r="I56" s="75" t="str">
        <f>VLOOKUP($A$11,'[1]6.2. отчет'!$D:$AGO,249,0)</f>
        <v>нд</v>
      </c>
      <c r="J56" s="75">
        <f>VLOOKUP($A$11,'[1]6.2. отчет'!$D:$AGO,260,0)</f>
        <v>0</v>
      </c>
      <c r="K56" s="75">
        <f>VLOOKUP($A$11,'[1]6.2. отчет'!$D:$AGO,315,0)</f>
        <v>0</v>
      </c>
    </row>
    <row r="57" spans="1:11" s="129" customFormat="1" x14ac:dyDescent="0.25">
      <c r="A57" s="44" t="s">
        <v>47</v>
      </c>
      <c r="B57" s="193" t="s">
        <v>471</v>
      </c>
      <c r="C57" s="75" t="str">
        <f>VLOOKUP($A$11,'[1]6.2. отчет'!$D:$FX,177,0)</f>
        <v>нд</v>
      </c>
      <c r="D57" s="75">
        <v>0</v>
      </c>
      <c r="E57" s="75">
        <f t="shared" si="5"/>
        <v>2</v>
      </c>
      <c r="F57" s="75">
        <f t="shared" si="6"/>
        <v>2</v>
      </c>
      <c r="G57" s="75">
        <f>VLOOKUP($A$11,'[1]6.2. отчет'!$D:$GJ,189,0)</f>
        <v>0</v>
      </c>
      <c r="H57" s="75" t="str">
        <f>VLOOKUP($A$11,'[1]6.2. отчет'!$D:$AGO,200,0)</f>
        <v>нд</v>
      </c>
      <c r="I57" s="75" t="str">
        <f>VLOOKUP($A$11,'[1]6.2. отчет'!$D:$AGO,255,0)</f>
        <v>нд</v>
      </c>
      <c r="J57" s="75">
        <f>VLOOKUP($A$11,'[1]6.2. отчет'!$D:$AGO,266,0)</f>
        <v>2</v>
      </c>
      <c r="K57" s="75">
        <f>VLOOKUP($A$11,'[1]6.2. отчет'!$D:$AGO,321,0)</f>
        <v>2</v>
      </c>
    </row>
    <row r="58" spans="1:11" s="129" customFormat="1" ht="36.75" customHeight="1" x14ac:dyDescent="0.25">
      <c r="A58" s="47" t="s">
        <v>12</v>
      </c>
      <c r="B58" s="55" t="s">
        <v>142</v>
      </c>
      <c r="C58" s="75"/>
      <c r="D58" s="75"/>
      <c r="E58" s="75"/>
      <c r="F58" s="75">
        <f t="shared" si="6"/>
        <v>0</v>
      </c>
      <c r="G58" s="75"/>
      <c r="H58" s="75"/>
      <c r="I58" s="198"/>
      <c r="J58" s="75"/>
      <c r="K58" s="198"/>
    </row>
    <row r="59" spans="1:11" s="129" customFormat="1" x14ac:dyDescent="0.25">
      <c r="A59" s="47" t="s">
        <v>10</v>
      </c>
      <c r="B59" s="46" t="s">
        <v>46</v>
      </c>
      <c r="C59" s="75"/>
      <c r="D59" s="75"/>
      <c r="E59" s="75"/>
      <c r="F59" s="75">
        <f t="shared" si="6"/>
        <v>0</v>
      </c>
      <c r="G59" s="75"/>
      <c r="H59" s="75"/>
      <c r="I59" s="198"/>
      <c r="J59" s="75"/>
      <c r="K59" s="198"/>
    </row>
    <row r="60" spans="1:11" s="129" customFormat="1" x14ac:dyDescent="0.25">
      <c r="A60" s="44" t="s">
        <v>136</v>
      </c>
      <c r="B60" s="45" t="s">
        <v>66</v>
      </c>
      <c r="C60" s="75" t="str">
        <f>VLOOKUP($A$11,'[1]6.2. отчет'!$D:$AGO,326,0)</f>
        <v>нд</v>
      </c>
      <c r="D60" s="75">
        <v>0</v>
      </c>
      <c r="E60" s="75">
        <f t="shared" ref="E60:E64" si="8">F60+G60</f>
        <v>0</v>
      </c>
      <c r="F60" s="75">
        <f t="shared" si="6"/>
        <v>0</v>
      </c>
      <c r="G60" s="75">
        <f>VLOOKUP($A$11,'[1]6.2. отчет'!$D:$AGO,333,0)</f>
        <v>0</v>
      </c>
      <c r="H60" s="75" t="str">
        <f>VLOOKUP($A$11,'[1]6.2. отчет'!$D:$AGO,341,0)</f>
        <v>нд</v>
      </c>
      <c r="I60" s="75" t="str">
        <f>VLOOKUP($A$11,'[1]6.2. отчет'!$D:$AGO,366,0)</f>
        <v>нд</v>
      </c>
      <c r="J60" s="75">
        <f>VLOOKUP($A$11,'[1]6.2. отчет'!$D:$AGO,371,0)</f>
        <v>0</v>
      </c>
      <c r="K60" s="75">
        <f>VLOOKUP($A$11,'[1]6.2. отчет'!$D:$AGO,396,0)</f>
        <v>0</v>
      </c>
    </row>
    <row r="61" spans="1:11" s="129" customFormat="1" x14ac:dyDescent="0.25">
      <c r="A61" s="44" t="s">
        <v>137</v>
      </c>
      <c r="B61" s="45" t="s">
        <v>64</v>
      </c>
      <c r="C61" s="75" t="str">
        <f>VLOOKUP($A$11,'[1]6.2. отчет'!$D:$AGO,327,0)</f>
        <v>нд</v>
      </c>
      <c r="D61" s="75">
        <v>0</v>
      </c>
      <c r="E61" s="75">
        <f t="shared" si="8"/>
        <v>0</v>
      </c>
      <c r="F61" s="75">
        <f t="shared" si="6"/>
        <v>0</v>
      </c>
      <c r="G61" s="75">
        <f>VLOOKUP($A$11,'[1]6.2. отчет'!$D:$AGO,334,0)</f>
        <v>0</v>
      </c>
      <c r="H61" s="75" t="str">
        <f>VLOOKUP($A$11,'[1]6.2. отчет'!$D:$AGO,338,0)</f>
        <v>нд</v>
      </c>
      <c r="I61" s="75" t="str">
        <f>VLOOKUP($A$11,'[1]6.2. отчет'!$D:$AGO,363,0)</f>
        <v>нд</v>
      </c>
      <c r="J61" s="75">
        <f>VLOOKUP($A$11,'[1]6.2. отчет'!$D:$AGO,368,0)</f>
        <v>0</v>
      </c>
      <c r="K61" s="75">
        <f>VLOOKUP($A$11,'[1]6.2. отчет'!$D:$AGO,393,0)</f>
        <v>0</v>
      </c>
    </row>
    <row r="62" spans="1:11" s="129" customFormat="1" x14ac:dyDescent="0.25">
      <c r="A62" s="44" t="s">
        <v>138</v>
      </c>
      <c r="B62" s="45" t="s">
        <v>62</v>
      </c>
      <c r="C62" s="75" t="str">
        <f>VLOOKUP($A$11,'[1]6.2. отчет'!$D:$AGO,328,0)</f>
        <v>нд</v>
      </c>
      <c r="D62" s="75">
        <v>0</v>
      </c>
      <c r="E62" s="75">
        <f t="shared" si="8"/>
        <v>0</v>
      </c>
      <c r="F62" s="75">
        <f t="shared" si="6"/>
        <v>0</v>
      </c>
      <c r="G62" s="75">
        <f>VLOOKUP($A$11,'[1]6.2. отчет'!$D:$AGO,335,0)</f>
        <v>0</v>
      </c>
      <c r="H62" s="75" t="str">
        <f>VLOOKUP($A$11,'[1]6.2. отчет'!$D:$AGO,339,0)</f>
        <v>нд</v>
      </c>
      <c r="I62" s="75" t="str">
        <f>VLOOKUP($A$11,'[1]6.2. отчет'!$D:$AGO,364,0)</f>
        <v>нд</v>
      </c>
      <c r="J62" s="75">
        <f>VLOOKUP($A$11,'[1]6.2. отчет'!$D:$AGO,369,0)</f>
        <v>0</v>
      </c>
      <c r="K62" s="75">
        <f>VLOOKUP($A$11,'[1]6.2. отчет'!$D:$AGO,394,0)</f>
        <v>0</v>
      </c>
    </row>
    <row r="63" spans="1:11" s="129" customFormat="1" x14ac:dyDescent="0.25">
      <c r="A63" s="44" t="s">
        <v>139</v>
      </c>
      <c r="B63" s="45" t="s">
        <v>141</v>
      </c>
      <c r="C63" s="75" t="str">
        <f>VLOOKUP($A$11,'[1]6.2. отчет'!$D:$AGO,329,0)</f>
        <v>нд</v>
      </c>
      <c r="D63" s="75">
        <v>0</v>
      </c>
      <c r="E63" s="75">
        <f t="shared" si="8"/>
        <v>0</v>
      </c>
      <c r="F63" s="75">
        <f t="shared" si="6"/>
        <v>0</v>
      </c>
      <c r="G63" s="75">
        <f>VLOOKUP($A$11,'[1]6.2. отчет'!$D:$AGO,336,0)</f>
        <v>0</v>
      </c>
      <c r="H63" s="75" t="str">
        <f>VLOOKUP($A$11,'[1]6.2. отчет'!$D:$AGO,340,0)</f>
        <v>нд</v>
      </c>
      <c r="I63" s="75" t="str">
        <f>VLOOKUP($A$11,'[1]6.2. отчет'!$D:$AGO,365,0)</f>
        <v>нд</v>
      </c>
      <c r="J63" s="75">
        <f>VLOOKUP($A$11,'[1]6.2. отчет'!$D:$AGO,370,0)</f>
        <v>0</v>
      </c>
      <c r="K63" s="75">
        <f>VLOOKUP($A$11,'[1]6.2. отчет'!$D:$AGO,395,0)</f>
        <v>0</v>
      </c>
    </row>
    <row r="64" spans="1:11" s="129" customFormat="1" ht="18.75" x14ac:dyDescent="0.25">
      <c r="A64" s="44" t="s">
        <v>140</v>
      </c>
      <c r="B64" s="43" t="s">
        <v>41</v>
      </c>
      <c r="C64" s="75" t="str">
        <f>VLOOKUP($A$11,'[1]6.2. отчет'!$D:$AGO,330,0)</f>
        <v>нд</v>
      </c>
      <c r="D64" s="75">
        <v>0</v>
      </c>
      <c r="E64" s="75">
        <f t="shared" si="8"/>
        <v>0</v>
      </c>
      <c r="F64" s="75">
        <f t="shared" si="6"/>
        <v>0</v>
      </c>
      <c r="G64" s="75">
        <f>VLOOKUP($A$11,'[1]6.2. отчет'!$D:$AGO,337,0)</f>
        <v>0</v>
      </c>
      <c r="H64" s="75" t="str">
        <f>VLOOKUP($A$11,'[1]6.2. отчет'!$D:$AGO,342,0)</f>
        <v>нд</v>
      </c>
      <c r="I64" s="75" t="str">
        <f>VLOOKUP($A$11,'[1]6.2. отчет'!$D:$AGO,367,0)</f>
        <v>нд</v>
      </c>
      <c r="J64" s="75">
        <f>VLOOKUP($A$11,'[1]6.2. отчет'!$D:$AGO,372,0)</f>
        <v>0</v>
      </c>
      <c r="K64" s="75">
        <f>VLOOKUP($A$11,'[1]6.2. отчет'!$D:$AGO,396,0)</f>
        <v>0</v>
      </c>
    </row>
    <row r="65" spans="1:7" x14ac:dyDescent="0.25">
      <c r="A65" s="40"/>
      <c r="B65" s="41"/>
      <c r="C65" s="41"/>
      <c r="D65" s="41"/>
      <c r="E65" s="41"/>
      <c r="F65" s="41"/>
      <c r="G65" s="41"/>
    </row>
    <row r="66" spans="1:7" ht="54" customHeight="1" x14ac:dyDescent="0.25">
      <c r="A66" s="36"/>
      <c r="B66" s="286"/>
      <c r="C66" s="286"/>
      <c r="D66" s="286"/>
      <c r="E66" s="286"/>
      <c r="F66" s="286"/>
      <c r="G66" s="286"/>
    </row>
    <row r="67" spans="1:7" x14ac:dyDescent="0.25">
      <c r="A67" s="36"/>
      <c r="B67" s="36"/>
      <c r="C67" s="36"/>
      <c r="D67" s="36"/>
      <c r="E67" s="36"/>
      <c r="F67" s="36"/>
    </row>
    <row r="68" spans="1:7" ht="50.25" customHeight="1" x14ac:dyDescent="0.25">
      <c r="A68" s="36"/>
      <c r="B68" s="287"/>
      <c r="C68" s="287"/>
      <c r="D68" s="287"/>
      <c r="E68" s="287"/>
      <c r="F68" s="287"/>
      <c r="G68" s="287"/>
    </row>
    <row r="69" spans="1:7" x14ac:dyDescent="0.25">
      <c r="A69" s="36"/>
      <c r="B69" s="36"/>
      <c r="C69" s="36"/>
      <c r="D69" s="36"/>
      <c r="E69" s="36"/>
      <c r="F69" s="36"/>
    </row>
    <row r="70" spans="1:7" ht="36.75" customHeight="1" x14ac:dyDescent="0.25">
      <c r="A70" s="36"/>
      <c r="B70" s="286"/>
      <c r="C70" s="286"/>
      <c r="D70" s="286"/>
      <c r="E70" s="286"/>
      <c r="F70" s="286"/>
      <c r="G70" s="286"/>
    </row>
    <row r="71" spans="1:7" x14ac:dyDescent="0.25">
      <c r="A71" s="36"/>
      <c r="B71" s="39"/>
      <c r="C71" s="39"/>
      <c r="D71" s="39"/>
      <c r="E71" s="39"/>
      <c r="F71" s="39"/>
    </row>
    <row r="72" spans="1:7" ht="51" customHeight="1" x14ac:dyDescent="0.25">
      <c r="A72" s="36"/>
      <c r="B72" s="286"/>
      <c r="C72" s="286"/>
      <c r="D72" s="286"/>
      <c r="E72" s="286"/>
      <c r="F72" s="286"/>
      <c r="G72" s="286"/>
    </row>
    <row r="73" spans="1:7" ht="32.25" customHeight="1" x14ac:dyDescent="0.25">
      <c r="A73" s="36"/>
      <c r="B73" s="287"/>
      <c r="C73" s="287"/>
      <c r="D73" s="287"/>
      <c r="E73" s="287"/>
      <c r="F73" s="287"/>
      <c r="G73" s="287"/>
    </row>
    <row r="74" spans="1:7" ht="51.75" customHeight="1" x14ac:dyDescent="0.25">
      <c r="A74" s="36"/>
      <c r="B74" s="286"/>
      <c r="C74" s="286"/>
      <c r="D74" s="286"/>
      <c r="E74" s="286"/>
      <c r="F74" s="286"/>
      <c r="G74" s="286"/>
    </row>
    <row r="75" spans="1:7" ht="21.75" customHeight="1" x14ac:dyDescent="0.25">
      <c r="A75" s="36"/>
      <c r="B75" s="288"/>
      <c r="C75" s="288"/>
      <c r="D75" s="288"/>
      <c r="E75" s="288"/>
      <c r="F75" s="288"/>
      <c r="G75" s="288"/>
    </row>
    <row r="76" spans="1:7" ht="23.25" customHeight="1" x14ac:dyDescent="0.25">
      <c r="A76" s="36"/>
      <c r="B76" s="37"/>
      <c r="C76" s="37"/>
      <c r="D76" s="37"/>
      <c r="E76" s="37"/>
      <c r="F76" s="37"/>
    </row>
    <row r="77" spans="1:7" ht="18.75" customHeight="1" x14ac:dyDescent="0.25">
      <c r="A77" s="36"/>
      <c r="B77" s="285"/>
      <c r="C77" s="285"/>
      <c r="D77" s="285"/>
      <c r="E77" s="285"/>
      <c r="F77" s="285"/>
      <c r="G77" s="285"/>
    </row>
    <row r="78" spans="1:7" x14ac:dyDescent="0.25">
      <c r="A78" s="36"/>
      <c r="B78" s="36"/>
      <c r="C78" s="36"/>
      <c r="D78" s="36"/>
      <c r="E78" s="36"/>
      <c r="F78" s="36"/>
    </row>
    <row r="79" spans="1:7" x14ac:dyDescent="0.25">
      <c r="A79" s="36"/>
      <c r="B79" s="36"/>
      <c r="C79" s="36"/>
      <c r="D79" s="36"/>
      <c r="E79" s="36"/>
      <c r="F79" s="36"/>
    </row>
    <row r="80" spans="1:7" x14ac:dyDescent="0.25">
      <c r="G80" s="35"/>
    </row>
    <row r="81" spans="7:7" x14ac:dyDescent="0.25">
      <c r="G81" s="35"/>
    </row>
    <row r="82" spans="7:7" x14ac:dyDescent="0.25">
      <c r="G82" s="35"/>
    </row>
    <row r="83" spans="7:7" x14ac:dyDescent="0.25">
      <c r="G83" s="35"/>
    </row>
    <row r="84" spans="7:7" x14ac:dyDescent="0.25">
      <c r="G84" s="35"/>
    </row>
    <row r="85" spans="7:7" x14ac:dyDescent="0.25">
      <c r="G85" s="35"/>
    </row>
    <row r="86" spans="7:7" x14ac:dyDescent="0.25">
      <c r="G86" s="35"/>
    </row>
    <row r="87" spans="7:7" x14ac:dyDescent="0.25">
      <c r="G87" s="35"/>
    </row>
    <row r="88" spans="7:7" x14ac:dyDescent="0.25">
      <c r="G88" s="35"/>
    </row>
    <row r="89" spans="7:7" x14ac:dyDescent="0.25">
      <c r="G89" s="35"/>
    </row>
    <row r="90" spans="7:7" x14ac:dyDescent="0.25">
      <c r="G90" s="35"/>
    </row>
    <row r="91" spans="7:7" x14ac:dyDescent="0.25">
      <c r="G91" s="35"/>
    </row>
    <row r="92" spans="7:7" x14ac:dyDescent="0.25">
      <c r="G92" s="35"/>
    </row>
  </sheetData>
  <mergeCells count="26">
    <mergeCell ref="A14:G14"/>
    <mergeCell ref="A4:G4"/>
    <mergeCell ref="A12:G12"/>
    <mergeCell ref="A9:G9"/>
    <mergeCell ref="A11:G11"/>
    <mergeCell ref="A8:G8"/>
    <mergeCell ref="A6:G6"/>
    <mergeCell ref="A16:G16"/>
    <mergeCell ref="A15:G15"/>
    <mergeCell ref="A20:A22"/>
    <mergeCell ref="E20:F21"/>
    <mergeCell ref="A18:G18"/>
    <mergeCell ref="B20:B22"/>
    <mergeCell ref="G20:G22"/>
    <mergeCell ref="H20:K20"/>
    <mergeCell ref="H21:I21"/>
    <mergeCell ref="J21:K21"/>
    <mergeCell ref="B77:G77"/>
    <mergeCell ref="B66:G66"/>
    <mergeCell ref="B68:G68"/>
    <mergeCell ref="B70:G70"/>
    <mergeCell ref="B72:G72"/>
    <mergeCell ref="B73:G73"/>
    <mergeCell ref="B74:G74"/>
    <mergeCell ref="B75:G75"/>
    <mergeCell ref="C20:D21"/>
  </mergeCells>
  <phoneticPr fontId="49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tabSelected="1" topLeftCell="V1" zoomScale="70" zoomScaleNormal="70" workbookViewId="0">
      <selection activeCell="V26" sqref="A26:XFD26"/>
    </sheetView>
  </sheetViews>
  <sheetFormatPr defaultRowHeight="15" x14ac:dyDescent="0.25"/>
  <cols>
    <col min="1" max="1" width="6.140625" style="167" customWidth="1"/>
    <col min="2" max="2" width="23.140625" style="167" customWidth="1"/>
    <col min="3" max="3" width="13.85546875" style="167" customWidth="1"/>
    <col min="4" max="4" width="17.85546875" style="167" customWidth="1"/>
    <col min="5" max="12" width="7.7109375" style="167" customWidth="1"/>
    <col min="13" max="13" width="13.28515625" style="167" customWidth="1"/>
    <col min="14" max="14" width="32.42578125" style="167" customWidth="1"/>
    <col min="15" max="15" width="15.7109375" style="167" customWidth="1"/>
    <col min="16" max="16" width="16.140625" style="167" customWidth="1"/>
    <col min="17" max="17" width="14.5703125" style="167" customWidth="1"/>
    <col min="18" max="18" width="19.140625" style="167" customWidth="1"/>
    <col min="19" max="20" width="9.7109375" style="167" customWidth="1"/>
    <col min="21" max="21" width="11.42578125" style="167" customWidth="1"/>
    <col min="22" max="22" width="12.7109375" style="167" customWidth="1"/>
    <col min="23" max="23" width="23.140625" style="167" customWidth="1"/>
    <col min="24" max="24" width="16.28515625" style="167" customWidth="1"/>
    <col min="25" max="25" width="20.28515625" style="167" customWidth="1"/>
    <col min="26" max="26" width="7.7109375" style="167" customWidth="1"/>
    <col min="27" max="27" width="13.85546875" style="167" customWidth="1"/>
    <col min="28" max="28" width="18.7109375" style="167" customWidth="1"/>
    <col min="29" max="29" width="18.42578125" style="167" customWidth="1"/>
    <col min="30" max="30" width="12.5703125" style="167" customWidth="1"/>
    <col min="31" max="31" width="20.140625" style="167" customWidth="1"/>
    <col min="32" max="32" width="13" style="167" customWidth="1"/>
    <col min="33" max="33" width="13.85546875" style="167" customWidth="1"/>
    <col min="34" max="34" width="9.7109375" style="167" customWidth="1"/>
    <col min="35" max="35" width="11.7109375" style="167" customWidth="1"/>
    <col min="36" max="36" width="14" style="167" customWidth="1"/>
    <col min="37" max="37" width="16" style="167" customWidth="1"/>
    <col min="38" max="38" width="14.140625" style="167" customWidth="1"/>
    <col min="39" max="39" width="15.42578125" style="167" customWidth="1"/>
    <col min="40" max="41" width="9.7109375" style="167" customWidth="1"/>
    <col min="42" max="42" width="12.42578125" style="167" customWidth="1"/>
    <col min="43" max="43" width="12" style="167" customWidth="1"/>
    <col min="44" max="44" width="14.140625" style="167" customWidth="1"/>
    <col min="45" max="45" width="13.28515625" style="167" customWidth="1"/>
    <col min="46" max="46" width="18" style="167" customWidth="1"/>
    <col min="47" max="47" width="10.7109375" style="167" customWidth="1"/>
    <col min="48" max="48" width="15.7109375" style="167" customWidth="1"/>
  </cols>
  <sheetData>
    <row r="1" spans="1:48" ht="18.75" x14ac:dyDescent="0.25">
      <c r="AV1" s="29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8" customFormat="1" ht="18.75" x14ac:dyDescent="0.3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98"/>
    </row>
    <row r="5" spans="1:48" s="79" customFormat="1" ht="15.75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48" s="79" customFormat="1" ht="15.75" x14ac:dyDescent="0.2">
      <c r="A6" s="81"/>
    </row>
    <row r="7" spans="1:48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48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48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48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48" s="79" customFormat="1" ht="18.75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48" s="79" customFormat="1" ht="18.75" customHeight="1" x14ac:dyDescent="0.2">
      <c r="A12" s="215" t="str">
        <f>'1. паспорт местоположение'!A12:C12</f>
        <v>I_Che223_18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48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48" s="82" customFormat="1" ht="15.75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48" s="83" customFormat="1" ht="15.75" x14ac:dyDescent="0.2">
      <c r="A15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48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48" s="148" customFormat="1" x14ac:dyDescent="0.25">
      <c r="A17" s="297"/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</row>
    <row r="18" spans="1:48" s="148" customFormat="1" x14ac:dyDescent="0.25">
      <c r="A18" s="297"/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</row>
    <row r="19" spans="1:48" s="148" customForma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</row>
    <row r="20" spans="1:48" s="148" customFormat="1" x14ac:dyDescent="0.25">
      <c r="A20" s="297"/>
      <c r="B20" s="297"/>
      <c r="C20" s="297"/>
      <c r="D20" s="297"/>
      <c r="E20" s="297"/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</row>
    <row r="21" spans="1:48" x14ac:dyDescent="0.25">
      <c r="A21" s="308" t="s">
        <v>403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</row>
    <row r="22" spans="1:48" ht="15.75" x14ac:dyDescent="0.25">
      <c r="A22" s="301" t="s">
        <v>404</v>
      </c>
      <c r="B22" s="305" t="s">
        <v>405</v>
      </c>
      <c r="C22" s="301" t="s">
        <v>406</v>
      </c>
      <c r="D22" s="301" t="s">
        <v>407</v>
      </c>
      <c r="E22" s="298" t="s">
        <v>408</v>
      </c>
      <c r="F22" s="299"/>
      <c r="G22" s="299"/>
      <c r="H22" s="299"/>
      <c r="I22" s="299"/>
      <c r="J22" s="299"/>
      <c r="K22" s="299"/>
      <c r="L22" s="300"/>
      <c r="M22" s="301" t="s">
        <v>409</v>
      </c>
      <c r="N22" s="301" t="s">
        <v>410</v>
      </c>
      <c r="O22" s="301" t="s">
        <v>411</v>
      </c>
      <c r="P22" s="304" t="s">
        <v>412</v>
      </c>
      <c r="Q22" s="304" t="s">
        <v>413</v>
      </c>
      <c r="R22" s="304" t="s">
        <v>414</v>
      </c>
      <c r="S22" s="304" t="s">
        <v>415</v>
      </c>
      <c r="T22" s="304"/>
      <c r="U22" s="320" t="s">
        <v>416</v>
      </c>
      <c r="V22" s="320" t="s">
        <v>417</v>
      </c>
      <c r="W22" s="304" t="s">
        <v>418</v>
      </c>
      <c r="X22" s="304" t="s">
        <v>419</v>
      </c>
      <c r="Y22" s="304" t="s">
        <v>420</v>
      </c>
      <c r="Z22" s="319" t="s">
        <v>421</v>
      </c>
      <c r="AA22" s="304" t="s">
        <v>422</v>
      </c>
      <c r="AB22" s="304" t="s">
        <v>423</v>
      </c>
      <c r="AC22" s="304" t="s">
        <v>424</v>
      </c>
      <c r="AD22" s="304" t="s">
        <v>425</v>
      </c>
      <c r="AE22" s="304" t="s">
        <v>426</v>
      </c>
      <c r="AF22" s="304" t="s">
        <v>427</v>
      </c>
      <c r="AG22" s="304"/>
      <c r="AH22" s="304"/>
      <c r="AI22" s="304"/>
      <c r="AJ22" s="304"/>
      <c r="AK22" s="304"/>
      <c r="AL22" s="304" t="s">
        <v>428</v>
      </c>
      <c r="AM22" s="304"/>
      <c r="AN22" s="304"/>
      <c r="AO22" s="304"/>
      <c r="AP22" s="304" t="s">
        <v>429</v>
      </c>
      <c r="AQ22" s="304"/>
      <c r="AR22" s="304" t="s">
        <v>430</v>
      </c>
      <c r="AS22" s="304" t="s">
        <v>431</v>
      </c>
      <c r="AT22" s="304" t="s">
        <v>432</v>
      </c>
      <c r="AU22" s="304" t="s">
        <v>433</v>
      </c>
      <c r="AV22" s="311" t="s">
        <v>434</v>
      </c>
    </row>
    <row r="23" spans="1:48" ht="15.75" x14ac:dyDescent="0.25">
      <c r="A23" s="302"/>
      <c r="B23" s="306"/>
      <c r="C23" s="302"/>
      <c r="D23" s="302"/>
      <c r="E23" s="313" t="s">
        <v>435</v>
      </c>
      <c r="F23" s="315" t="s">
        <v>45</v>
      </c>
      <c r="G23" s="315" t="s">
        <v>44</v>
      </c>
      <c r="H23" s="315" t="s">
        <v>43</v>
      </c>
      <c r="I23" s="317" t="s">
        <v>436</v>
      </c>
      <c r="J23" s="317" t="s">
        <v>437</v>
      </c>
      <c r="K23" s="317" t="s">
        <v>438</v>
      </c>
      <c r="L23" s="315" t="s">
        <v>396</v>
      </c>
      <c r="M23" s="302"/>
      <c r="N23" s="302"/>
      <c r="O23" s="302"/>
      <c r="P23" s="304"/>
      <c r="Q23" s="304"/>
      <c r="R23" s="304"/>
      <c r="S23" s="321" t="s">
        <v>0</v>
      </c>
      <c r="T23" s="321" t="s">
        <v>439</v>
      </c>
      <c r="U23" s="320"/>
      <c r="V23" s="320"/>
      <c r="W23" s="304"/>
      <c r="X23" s="304"/>
      <c r="Y23" s="304"/>
      <c r="Z23" s="304"/>
      <c r="AA23" s="304"/>
      <c r="AB23" s="304"/>
      <c r="AC23" s="304"/>
      <c r="AD23" s="304"/>
      <c r="AE23" s="304"/>
      <c r="AF23" s="304" t="s">
        <v>440</v>
      </c>
      <c r="AG23" s="304"/>
      <c r="AH23" s="304" t="s">
        <v>441</v>
      </c>
      <c r="AI23" s="304"/>
      <c r="AJ23" s="301" t="s">
        <v>442</v>
      </c>
      <c r="AK23" s="301" t="s">
        <v>443</v>
      </c>
      <c r="AL23" s="301" t="s">
        <v>444</v>
      </c>
      <c r="AM23" s="301" t="s">
        <v>445</v>
      </c>
      <c r="AN23" s="301" t="s">
        <v>446</v>
      </c>
      <c r="AO23" s="301" t="s">
        <v>447</v>
      </c>
      <c r="AP23" s="301" t="s">
        <v>448</v>
      </c>
      <c r="AQ23" s="309" t="s">
        <v>439</v>
      </c>
      <c r="AR23" s="304"/>
      <c r="AS23" s="304"/>
      <c r="AT23" s="304"/>
      <c r="AU23" s="304"/>
      <c r="AV23" s="312"/>
    </row>
    <row r="24" spans="1:48" ht="126.75" customHeight="1" x14ac:dyDescent="0.25">
      <c r="A24" s="303"/>
      <c r="B24" s="307"/>
      <c r="C24" s="303"/>
      <c r="D24" s="303"/>
      <c r="E24" s="314"/>
      <c r="F24" s="316"/>
      <c r="G24" s="316"/>
      <c r="H24" s="316"/>
      <c r="I24" s="318"/>
      <c r="J24" s="318"/>
      <c r="K24" s="318"/>
      <c r="L24" s="316"/>
      <c r="M24" s="303"/>
      <c r="N24" s="303"/>
      <c r="O24" s="303"/>
      <c r="P24" s="304"/>
      <c r="Q24" s="304"/>
      <c r="R24" s="304"/>
      <c r="S24" s="322"/>
      <c r="T24" s="322"/>
      <c r="U24" s="320"/>
      <c r="V24" s="320"/>
      <c r="W24" s="304"/>
      <c r="X24" s="304"/>
      <c r="Y24" s="304"/>
      <c r="Z24" s="304"/>
      <c r="AA24" s="304"/>
      <c r="AB24" s="304"/>
      <c r="AC24" s="304"/>
      <c r="AD24" s="304"/>
      <c r="AE24" s="304"/>
      <c r="AF24" s="169" t="s">
        <v>449</v>
      </c>
      <c r="AG24" s="169" t="s">
        <v>450</v>
      </c>
      <c r="AH24" s="170" t="s">
        <v>0</v>
      </c>
      <c r="AI24" s="170" t="s">
        <v>439</v>
      </c>
      <c r="AJ24" s="303"/>
      <c r="AK24" s="303"/>
      <c r="AL24" s="303"/>
      <c r="AM24" s="303"/>
      <c r="AN24" s="303"/>
      <c r="AO24" s="303"/>
      <c r="AP24" s="303"/>
      <c r="AQ24" s="310"/>
      <c r="AR24" s="304"/>
      <c r="AS24" s="304"/>
      <c r="AT24" s="304"/>
      <c r="AU24" s="304"/>
      <c r="AV24" s="312"/>
    </row>
    <row r="25" spans="1:48" ht="21.75" customHeight="1" x14ac:dyDescent="0.25">
      <c r="A25" s="171">
        <v>1</v>
      </c>
      <c r="B25" s="171">
        <v>2</v>
      </c>
      <c r="C25" s="171">
        <v>4</v>
      </c>
      <c r="D25" s="171">
        <v>5</v>
      </c>
      <c r="E25" s="171">
        <v>6</v>
      </c>
      <c r="F25" s="171">
        <f t="shared" ref="F25:AV25" si="0">E25+1</f>
        <v>7</v>
      </c>
      <c r="G25" s="171">
        <f t="shared" si="0"/>
        <v>8</v>
      </c>
      <c r="H25" s="171">
        <f t="shared" si="0"/>
        <v>9</v>
      </c>
      <c r="I25" s="171">
        <f t="shared" si="0"/>
        <v>10</v>
      </c>
      <c r="J25" s="171">
        <f t="shared" si="0"/>
        <v>11</v>
      </c>
      <c r="K25" s="171">
        <f t="shared" si="0"/>
        <v>12</v>
      </c>
      <c r="L25" s="171">
        <f t="shared" si="0"/>
        <v>13</v>
      </c>
      <c r="M25" s="171">
        <f t="shared" si="0"/>
        <v>14</v>
      </c>
      <c r="N25" s="171">
        <f t="shared" si="0"/>
        <v>15</v>
      </c>
      <c r="O25" s="171">
        <f t="shared" si="0"/>
        <v>16</v>
      </c>
      <c r="P25" s="171">
        <f t="shared" si="0"/>
        <v>17</v>
      </c>
      <c r="Q25" s="171">
        <f t="shared" si="0"/>
        <v>18</v>
      </c>
      <c r="R25" s="171">
        <f t="shared" si="0"/>
        <v>19</v>
      </c>
      <c r="S25" s="171">
        <f t="shared" si="0"/>
        <v>20</v>
      </c>
      <c r="T25" s="171">
        <f t="shared" si="0"/>
        <v>21</v>
      </c>
      <c r="U25" s="171">
        <f t="shared" si="0"/>
        <v>22</v>
      </c>
      <c r="V25" s="171">
        <f t="shared" si="0"/>
        <v>23</v>
      </c>
      <c r="W25" s="171">
        <f t="shared" si="0"/>
        <v>24</v>
      </c>
      <c r="X25" s="171">
        <f t="shared" si="0"/>
        <v>25</v>
      </c>
      <c r="Y25" s="171">
        <f t="shared" si="0"/>
        <v>26</v>
      </c>
      <c r="Z25" s="171">
        <f t="shared" si="0"/>
        <v>27</v>
      </c>
      <c r="AA25" s="171">
        <f t="shared" si="0"/>
        <v>28</v>
      </c>
      <c r="AB25" s="171">
        <f t="shared" si="0"/>
        <v>29</v>
      </c>
      <c r="AC25" s="171">
        <f t="shared" si="0"/>
        <v>30</v>
      </c>
      <c r="AD25" s="171">
        <f t="shared" si="0"/>
        <v>31</v>
      </c>
      <c r="AE25" s="171">
        <f t="shared" si="0"/>
        <v>32</v>
      </c>
      <c r="AF25" s="171">
        <f t="shared" si="0"/>
        <v>33</v>
      </c>
      <c r="AG25" s="171">
        <f t="shared" si="0"/>
        <v>34</v>
      </c>
      <c r="AH25" s="171">
        <f t="shared" si="0"/>
        <v>35</v>
      </c>
      <c r="AI25" s="171">
        <f t="shared" si="0"/>
        <v>36</v>
      </c>
      <c r="AJ25" s="171">
        <f t="shared" si="0"/>
        <v>37</v>
      </c>
      <c r="AK25" s="171">
        <f t="shared" si="0"/>
        <v>38</v>
      </c>
      <c r="AL25" s="171">
        <f t="shared" si="0"/>
        <v>39</v>
      </c>
      <c r="AM25" s="171">
        <f t="shared" si="0"/>
        <v>40</v>
      </c>
      <c r="AN25" s="171">
        <f t="shared" si="0"/>
        <v>41</v>
      </c>
      <c r="AO25" s="171">
        <f t="shared" si="0"/>
        <v>42</v>
      </c>
      <c r="AP25" s="171">
        <f t="shared" si="0"/>
        <v>43</v>
      </c>
      <c r="AQ25" s="171">
        <f t="shared" si="0"/>
        <v>44</v>
      </c>
      <c r="AR25" s="171">
        <f t="shared" si="0"/>
        <v>45</v>
      </c>
      <c r="AS25" s="171">
        <f t="shared" si="0"/>
        <v>46</v>
      </c>
      <c r="AT25" s="171">
        <f t="shared" si="0"/>
        <v>47</v>
      </c>
      <c r="AU25" s="171">
        <f t="shared" si="0"/>
        <v>48</v>
      </c>
      <c r="AV25" s="171">
        <f t="shared" si="0"/>
        <v>49</v>
      </c>
    </row>
    <row r="26" spans="1:48" s="184" customFormat="1" ht="57" customHeight="1" x14ac:dyDescent="0.25">
      <c r="A26" s="183"/>
      <c r="B26" s="183" t="s">
        <v>265</v>
      </c>
      <c r="C26" s="183" t="s">
        <v>476</v>
      </c>
      <c r="D26" s="183" t="s">
        <v>477</v>
      </c>
      <c r="E26" s="183">
        <v>2</v>
      </c>
      <c r="F26" s="183" t="s">
        <v>289</v>
      </c>
      <c r="G26" s="183" t="s">
        <v>289</v>
      </c>
      <c r="H26" s="183" t="s">
        <v>289</v>
      </c>
      <c r="I26" s="183" t="s">
        <v>289</v>
      </c>
      <c r="J26" s="183" t="s">
        <v>289</v>
      </c>
      <c r="K26" s="183" t="s">
        <v>289</v>
      </c>
      <c r="L26" s="183" t="s">
        <v>289</v>
      </c>
      <c r="M26" s="183" t="s">
        <v>80</v>
      </c>
      <c r="N26" s="183" t="s">
        <v>478</v>
      </c>
      <c r="O26" s="183" t="s">
        <v>265</v>
      </c>
      <c r="P26" s="183" t="s">
        <v>289</v>
      </c>
      <c r="Q26" s="183" t="s">
        <v>289</v>
      </c>
      <c r="R26" s="183" t="s">
        <v>289</v>
      </c>
      <c r="S26" s="183" t="s">
        <v>289</v>
      </c>
      <c r="T26" s="183" t="s">
        <v>289</v>
      </c>
      <c r="U26" s="183" t="s">
        <v>289</v>
      </c>
      <c r="V26" s="183" t="s">
        <v>289</v>
      </c>
      <c r="W26" s="183" t="s">
        <v>289</v>
      </c>
      <c r="X26" s="183" t="s">
        <v>289</v>
      </c>
      <c r="Y26" s="183" t="s">
        <v>289</v>
      </c>
      <c r="Z26" s="183" t="s">
        <v>289</v>
      </c>
      <c r="AA26" s="183" t="s">
        <v>289</v>
      </c>
      <c r="AB26" s="183" t="s">
        <v>289</v>
      </c>
      <c r="AC26" s="183" t="s">
        <v>483</v>
      </c>
      <c r="AD26" s="326">
        <v>113.974</v>
      </c>
      <c r="AE26" s="183" t="s">
        <v>289</v>
      </c>
      <c r="AF26" s="183" t="s">
        <v>289</v>
      </c>
      <c r="AG26" s="183" t="s">
        <v>289</v>
      </c>
      <c r="AH26" s="183" t="s">
        <v>289</v>
      </c>
      <c r="AI26" s="183" t="s">
        <v>289</v>
      </c>
      <c r="AJ26" s="183" t="s">
        <v>289</v>
      </c>
      <c r="AK26" s="183" t="s">
        <v>289</v>
      </c>
      <c r="AL26" s="183" t="s">
        <v>479</v>
      </c>
      <c r="AM26" s="183" t="s">
        <v>480</v>
      </c>
      <c r="AN26" s="201" t="s">
        <v>481</v>
      </c>
      <c r="AO26" s="183" t="s">
        <v>482</v>
      </c>
      <c r="AP26" s="183" t="s">
        <v>289</v>
      </c>
      <c r="AQ26" s="183" t="s">
        <v>289</v>
      </c>
      <c r="AR26" s="183" t="s">
        <v>289</v>
      </c>
      <c r="AS26" s="183" t="s">
        <v>289</v>
      </c>
      <c r="AT26" s="183" t="s">
        <v>289</v>
      </c>
      <c r="AU26" s="183" t="s">
        <v>289</v>
      </c>
      <c r="AV26" s="183" t="s">
        <v>289</v>
      </c>
    </row>
  </sheetData>
  <mergeCells count="67">
    <mergeCell ref="Y22:Y24"/>
    <mergeCell ref="Z22:Z24"/>
    <mergeCell ref="J23:J24"/>
    <mergeCell ref="K23:K24"/>
    <mergeCell ref="U22:U24"/>
    <mergeCell ref="V22:V24"/>
    <mergeCell ref="W22:W24"/>
    <mergeCell ref="X22:X24"/>
    <mergeCell ref="R22:R24"/>
    <mergeCell ref="S22:T22"/>
    <mergeCell ref="S23:S24"/>
    <mergeCell ref="T23:T24"/>
    <mergeCell ref="O22:O24"/>
    <mergeCell ref="L23:L24"/>
    <mergeCell ref="AB22:AB24"/>
    <mergeCell ref="AE22:AE24"/>
    <mergeCell ref="AF22:AK22"/>
    <mergeCell ref="AC22:AC24"/>
    <mergeCell ref="AD22:AD24"/>
    <mergeCell ref="AH23:AI23"/>
    <mergeCell ref="AJ23:AJ24"/>
    <mergeCell ref="AK23:AK24"/>
    <mergeCell ref="E23:E24"/>
    <mergeCell ref="F23:F24"/>
    <mergeCell ref="G23:G24"/>
    <mergeCell ref="H23:H24"/>
    <mergeCell ref="I23:I24"/>
    <mergeCell ref="AV22:AV24"/>
    <mergeCell ref="AT22:AT24"/>
    <mergeCell ref="AU22:AU24"/>
    <mergeCell ref="AR22:AR24"/>
    <mergeCell ref="AS22:AS24"/>
    <mergeCell ref="AN23:AN24"/>
    <mergeCell ref="AO23:AO24"/>
    <mergeCell ref="AP23:AP24"/>
    <mergeCell ref="AQ23:AQ24"/>
    <mergeCell ref="AL22:AO22"/>
    <mergeCell ref="AP22:AQ22"/>
    <mergeCell ref="AL23:AL24"/>
    <mergeCell ref="AM23:AM24"/>
    <mergeCell ref="A17:AV17"/>
    <mergeCell ref="E22:L22"/>
    <mergeCell ref="M22:M24"/>
    <mergeCell ref="N22:N24"/>
    <mergeCell ref="AA22:AA24"/>
    <mergeCell ref="A18:AV18"/>
    <mergeCell ref="A22:A24"/>
    <mergeCell ref="B22:B24"/>
    <mergeCell ref="C22:C24"/>
    <mergeCell ref="D22:D24"/>
    <mergeCell ref="A19:AV19"/>
    <mergeCell ref="A20:AV20"/>
    <mergeCell ref="A21:AV21"/>
    <mergeCell ref="P22:P24"/>
    <mergeCell ref="Q22:Q24"/>
    <mergeCell ref="AF23:AG23"/>
    <mergeCell ref="A5:T5"/>
    <mergeCell ref="A7:T7"/>
    <mergeCell ref="A8:T8"/>
    <mergeCell ref="A9:T9"/>
    <mergeCell ref="A10:T10"/>
    <mergeCell ref="A15:T15"/>
    <mergeCell ref="A16:T16"/>
    <mergeCell ref="A13:T13"/>
    <mergeCell ref="A14:T14"/>
    <mergeCell ref="A11:T11"/>
    <mergeCell ref="A12:T12"/>
  </mergeCells>
  <phoneticPr fontId="49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zoomScale="80" zoomScaleNormal="90" zoomScaleSheetLayoutView="80" workbookViewId="0">
      <selection activeCell="B25" sqref="B25:B27"/>
    </sheetView>
  </sheetViews>
  <sheetFormatPr defaultRowHeight="15.75" x14ac:dyDescent="0.25"/>
  <cols>
    <col min="1" max="1" width="69.7109375" style="56" customWidth="1"/>
    <col min="2" max="2" width="64.28515625" style="56" customWidth="1"/>
    <col min="3" max="16384" width="9.140625" style="57"/>
  </cols>
  <sheetData>
    <row r="1" spans="1:8" ht="18.75" x14ac:dyDescent="0.25">
      <c r="B1" s="29" t="s">
        <v>22</v>
      </c>
    </row>
    <row r="2" spans="1:8" ht="18.75" x14ac:dyDescent="0.3">
      <c r="B2" s="13" t="s">
        <v>6</v>
      </c>
    </row>
    <row r="3" spans="1:8" ht="18.75" x14ac:dyDescent="0.3">
      <c r="B3" s="13" t="s">
        <v>146</v>
      </c>
    </row>
    <row r="4" spans="1:8" x14ac:dyDescent="0.25">
      <c r="B4" s="32"/>
    </row>
    <row r="5" spans="1:8" ht="18.75" x14ac:dyDescent="0.3">
      <c r="A5" s="325" t="str">
        <f>'1. паспорт местоположение'!$A$5</f>
        <v>Год раскрытия информации: 2019 год</v>
      </c>
      <c r="B5" s="325"/>
      <c r="C5" s="50"/>
      <c r="D5" s="50"/>
      <c r="E5" s="50"/>
      <c r="F5" s="50"/>
      <c r="G5" s="50"/>
      <c r="H5" s="50"/>
    </row>
    <row r="6" spans="1:8" ht="18.75" x14ac:dyDescent="0.3">
      <c r="A6" s="64"/>
      <c r="B6" s="64"/>
      <c r="C6" s="64"/>
      <c r="D6" s="64"/>
      <c r="E6" s="64"/>
      <c r="F6" s="64"/>
      <c r="G6" s="64"/>
      <c r="H6" s="64"/>
    </row>
    <row r="7" spans="1:8" ht="18.75" x14ac:dyDescent="0.25">
      <c r="A7" s="209" t="s">
        <v>5</v>
      </c>
      <c r="B7" s="209"/>
      <c r="C7" s="11"/>
      <c r="D7" s="11"/>
      <c r="E7" s="11"/>
      <c r="F7" s="11"/>
      <c r="G7" s="11"/>
      <c r="H7" s="11"/>
    </row>
    <row r="8" spans="1:8" ht="18.75" x14ac:dyDescent="0.25">
      <c r="A8" s="11"/>
      <c r="B8" s="11"/>
      <c r="C8" s="11"/>
      <c r="D8" s="11"/>
      <c r="E8" s="11"/>
      <c r="F8" s="11"/>
      <c r="G8" s="11"/>
      <c r="H8" s="11"/>
    </row>
    <row r="9" spans="1:8" x14ac:dyDescent="0.25">
      <c r="A9" s="210" t="s">
        <v>265</v>
      </c>
      <c r="B9" s="210"/>
      <c r="C9" s="6"/>
      <c r="D9" s="6"/>
      <c r="E9" s="6"/>
      <c r="F9" s="6"/>
      <c r="G9" s="6"/>
      <c r="H9" s="6"/>
    </row>
    <row r="10" spans="1:8" x14ac:dyDescent="0.25">
      <c r="A10" s="206" t="s">
        <v>4</v>
      </c>
      <c r="B10" s="206"/>
      <c r="C10" s="4"/>
      <c r="D10" s="4"/>
      <c r="E10" s="4"/>
      <c r="F10" s="4"/>
      <c r="G10" s="4"/>
      <c r="H10" s="4"/>
    </row>
    <row r="11" spans="1:8" ht="18.75" x14ac:dyDescent="0.25">
      <c r="A11" s="11"/>
      <c r="B11" s="11"/>
      <c r="C11" s="11"/>
      <c r="D11" s="11"/>
      <c r="E11" s="11"/>
      <c r="F11" s="11"/>
      <c r="G11" s="11"/>
      <c r="H11" s="11"/>
    </row>
    <row r="12" spans="1:8" ht="13.5" customHeight="1" x14ac:dyDescent="0.25">
      <c r="A12" s="210" t="str">
        <f>'1. паспорт местоположение'!A12:C12</f>
        <v>I_Che223_18</v>
      </c>
      <c r="B12" s="210"/>
      <c r="C12" s="6"/>
      <c r="D12" s="6"/>
      <c r="E12" s="6"/>
      <c r="F12" s="6"/>
      <c r="G12" s="6"/>
      <c r="H12" s="6"/>
    </row>
    <row r="13" spans="1:8" x14ac:dyDescent="0.25">
      <c r="A13" s="206" t="s">
        <v>3</v>
      </c>
      <c r="B13" s="206"/>
      <c r="C13" s="4"/>
      <c r="D13" s="4"/>
      <c r="E13" s="4"/>
      <c r="F13" s="4"/>
      <c r="G13" s="4"/>
      <c r="H13" s="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210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0"/>
      <c r="C15" s="6"/>
      <c r="D15" s="6"/>
      <c r="E15" s="6"/>
      <c r="F15" s="6"/>
      <c r="G15" s="6"/>
      <c r="H15" s="6"/>
    </row>
    <row r="16" spans="1:8" x14ac:dyDescent="0.25">
      <c r="A16" s="206" t="s">
        <v>2</v>
      </c>
      <c r="B16" s="206"/>
      <c r="C16" s="4"/>
      <c r="D16" s="4"/>
      <c r="E16" s="4"/>
      <c r="F16" s="4"/>
      <c r="G16" s="4"/>
      <c r="H16" s="4"/>
    </row>
    <row r="17" spans="1:2" x14ac:dyDescent="0.25">
      <c r="B17" s="58"/>
    </row>
    <row r="18" spans="1:2" ht="11.25" customHeight="1" x14ac:dyDescent="0.25">
      <c r="A18" s="323" t="s">
        <v>254</v>
      </c>
      <c r="B18" s="324"/>
    </row>
    <row r="19" spans="1:2" x14ac:dyDescent="0.25">
      <c r="B19" s="32"/>
    </row>
    <row r="20" spans="1:2" ht="16.5" thickBot="1" x14ac:dyDescent="0.3">
      <c r="B20" s="59"/>
    </row>
    <row r="21" spans="1:2" s="132" customFormat="1" ht="48" customHeight="1" thickBot="1" x14ac:dyDescent="0.3">
      <c r="A21" s="130" t="s">
        <v>150</v>
      </c>
      <c r="B21" s="130" t="str">
        <f>A15</f>
        <v>Модернизация ПС 110/35 кВ Гудермес-Тяговая с установкой шкафа промежуточных зажимов ШЗВ-200 и шкафа обогрева ШОВ-4</v>
      </c>
    </row>
    <row r="22" spans="1:2" s="132" customFormat="1" ht="24" customHeight="1" thickBot="1" x14ac:dyDescent="0.3">
      <c r="A22" s="130" t="s">
        <v>151</v>
      </c>
      <c r="B22" s="131" t="s">
        <v>469</v>
      </c>
    </row>
    <row r="23" spans="1:2" s="132" customFormat="1" ht="36.75" customHeight="1" thickBot="1" x14ac:dyDescent="0.3">
      <c r="A23" s="130" t="s">
        <v>147</v>
      </c>
      <c r="B23" s="131" t="str">
        <f>'1. паспорт местоположение'!C22</f>
        <v>Модернизация, техническое перевооружение трансформаторных и иных подстанций, распределительных пунктов</v>
      </c>
    </row>
    <row r="24" spans="1:2" s="132" customFormat="1" ht="16.5" thickBot="1" x14ac:dyDescent="0.3">
      <c r="A24" s="130" t="s">
        <v>152</v>
      </c>
      <c r="B24" s="131" t="s">
        <v>289</v>
      </c>
    </row>
    <row r="25" spans="1:2" s="132" customFormat="1" ht="16.5" thickBot="1" x14ac:dyDescent="0.3">
      <c r="A25" s="133" t="s">
        <v>153</v>
      </c>
      <c r="B25" s="199">
        <f>VLOOKUP($A$12,'[1]6.2. отчет'!$D:$OT,400,0)</f>
        <v>2019</v>
      </c>
    </row>
    <row r="26" spans="1:2" s="132" customFormat="1" ht="24" customHeight="1" thickBot="1" x14ac:dyDescent="0.3">
      <c r="A26" s="133" t="s">
        <v>154</v>
      </c>
      <c r="B26" s="131" t="str">
        <f>'[2]3.3 паспорт описание'!C30</f>
        <v>с</v>
      </c>
    </row>
    <row r="27" spans="1:2" s="132" customFormat="1" ht="29.25" thickBot="1" x14ac:dyDescent="0.3">
      <c r="A27" s="130" t="s">
        <v>270</v>
      </c>
      <c r="B27" s="200">
        <f>VLOOKUP($A$12,'[1]6.2. отчет'!$D:$OT,407,0)</f>
        <v>7.4635637199999993E-2</v>
      </c>
    </row>
    <row r="28" spans="1:2" s="132" customFormat="1" ht="25.5" customHeight="1" thickBot="1" x14ac:dyDescent="0.3">
      <c r="A28" s="131" t="s">
        <v>155</v>
      </c>
      <c r="B28" s="131" t="s">
        <v>289</v>
      </c>
    </row>
    <row r="29" spans="1:2" s="132" customFormat="1" ht="29.25" thickBot="1" x14ac:dyDescent="0.3">
      <c r="A29" s="130" t="s">
        <v>156</v>
      </c>
      <c r="B29" s="131" t="s">
        <v>289</v>
      </c>
    </row>
    <row r="30" spans="1:2" s="132" customFormat="1" ht="29.25" thickBot="1" x14ac:dyDescent="0.3">
      <c r="A30" s="130" t="s">
        <v>157</v>
      </c>
      <c r="B30" s="131" t="s">
        <v>289</v>
      </c>
    </row>
    <row r="31" spans="1:2" s="132" customFormat="1" ht="16.5" thickBot="1" x14ac:dyDescent="0.3">
      <c r="A31" s="131" t="s">
        <v>158</v>
      </c>
      <c r="B31" s="131" t="s">
        <v>289</v>
      </c>
    </row>
    <row r="32" spans="1:2" s="132" customFormat="1" ht="29.25" thickBot="1" x14ac:dyDescent="0.3">
      <c r="A32" s="130" t="s">
        <v>159</v>
      </c>
      <c r="B32" s="131" t="s">
        <v>289</v>
      </c>
    </row>
    <row r="33" spans="1:2" s="132" customFormat="1" ht="16.5" thickBot="1" x14ac:dyDescent="0.3">
      <c r="A33" s="131" t="s">
        <v>160</v>
      </c>
      <c r="B33" s="131" t="s">
        <v>289</v>
      </c>
    </row>
    <row r="34" spans="1:2" s="132" customFormat="1" ht="16.5" thickBot="1" x14ac:dyDescent="0.3">
      <c r="A34" s="131" t="s">
        <v>161</v>
      </c>
      <c r="B34" s="131" t="s">
        <v>289</v>
      </c>
    </row>
    <row r="35" spans="1:2" s="132" customFormat="1" ht="16.5" thickBot="1" x14ac:dyDescent="0.3">
      <c r="A35" s="131" t="s">
        <v>162</v>
      </c>
      <c r="B35" s="131" t="s">
        <v>289</v>
      </c>
    </row>
    <row r="36" spans="1:2" s="132" customFormat="1" ht="16.5" thickBot="1" x14ac:dyDescent="0.3">
      <c r="A36" s="131" t="s">
        <v>163</v>
      </c>
      <c r="B36" s="131" t="s">
        <v>289</v>
      </c>
    </row>
    <row r="37" spans="1:2" s="132" customFormat="1" ht="29.25" thickBot="1" x14ac:dyDescent="0.3">
      <c r="A37" s="130" t="s">
        <v>164</v>
      </c>
      <c r="B37" s="131" t="s">
        <v>289</v>
      </c>
    </row>
    <row r="38" spans="1:2" s="132" customFormat="1" ht="16.5" thickBot="1" x14ac:dyDescent="0.3">
      <c r="A38" s="131" t="s">
        <v>160</v>
      </c>
      <c r="B38" s="131" t="s">
        <v>289</v>
      </c>
    </row>
    <row r="39" spans="1:2" s="132" customFormat="1" ht="16.5" thickBot="1" x14ac:dyDescent="0.3">
      <c r="A39" s="131" t="s">
        <v>161</v>
      </c>
      <c r="B39" s="131" t="s">
        <v>289</v>
      </c>
    </row>
    <row r="40" spans="1:2" s="132" customFormat="1" ht="16.5" thickBot="1" x14ac:dyDescent="0.3">
      <c r="A40" s="131" t="s">
        <v>162</v>
      </c>
      <c r="B40" s="131" t="s">
        <v>289</v>
      </c>
    </row>
    <row r="41" spans="1:2" s="132" customFormat="1" ht="16.5" thickBot="1" x14ac:dyDescent="0.3">
      <c r="A41" s="131" t="s">
        <v>163</v>
      </c>
      <c r="B41" s="131" t="s">
        <v>289</v>
      </c>
    </row>
    <row r="42" spans="1:2" s="132" customFormat="1" ht="29.25" thickBot="1" x14ac:dyDescent="0.3">
      <c r="A42" s="130" t="s">
        <v>165</v>
      </c>
      <c r="B42" s="131" t="s">
        <v>289</v>
      </c>
    </row>
    <row r="43" spans="1:2" s="132" customFormat="1" ht="16.5" thickBot="1" x14ac:dyDescent="0.3">
      <c r="A43" s="131" t="s">
        <v>160</v>
      </c>
      <c r="B43" s="131" t="s">
        <v>289</v>
      </c>
    </row>
    <row r="44" spans="1:2" s="132" customFormat="1" ht="16.5" thickBot="1" x14ac:dyDescent="0.3">
      <c r="A44" s="131" t="s">
        <v>161</v>
      </c>
      <c r="B44" s="131" t="s">
        <v>289</v>
      </c>
    </row>
    <row r="45" spans="1:2" s="132" customFormat="1" ht="16.5" thickBot="1" x14ac:dyDescent="0.3">
      <c r="A45" s="131" t="s">
        <v>162</v>
      </c>
      <c r="B45" s="131" t="s">
        <v>289</v>
      </c>
    </row>
    <row r="46" spans="1:2" s="132" customFormat="1" ht="16.5" thickBot="1" x14ac:dyDescent="0.3">
      <c r="A46" s="131" t="s">
        <v>163</v>
      </c>
      <c r="B46" s="131" t="s">
        <v>289</v>
      </c>
    </row>
    <row r="47" spans="1:2" s="132" customFormat="1" ht="29.25" thickBot="1" x14ac:dyDescent="0.3">
      <c r="A47" s="133" t="s">
        <v>166</v>
      </c>
      <c r="B47" s="131" t="s">
        <v>289</v>
      </c>
    </row>
    <row r="48" spans="1:2" s="132" customFormat="1" ht="16.5" thickBot="1" x14ac:dyDescent="0.3">
      <c r="A48" s="187" t="s">
        <v>158</v>
      </c>
      <c r="B48" s="131" t="s">
        <v>289</v>
      </c>
    </row>
    <row r="49" spans="1:2" s="132" customFormat="1" ht="16.5" thickBot="1" x14ac:dyDescent="0.3">
      <c r="A49" s="187" t="s">
        <v>167</v>
      </c>
      <c r="B49" s="131" t="s">
        <v>289</v>
      </c>
    </row>
    <row r="50" spans="1:2" s="132" customFormat="1" ht="16.5" thickBot="1" x14ac:dyDescent="0.3">
      <c r="A50" s="187" t="s">
        <v>168</v>
      </c>
      <c r="B50" s="131" t="s">
        <v>289</v>
      </c>
    </row>
    <row r="51" spans="1:2" s="132" customFormat="1" ht="16.5" thickBot="1" x14ac:dyDescent="0.3">
      <c r="A51" s="187" t="s">
        <v>169</v>
      </c>
      <c r="B51" s="131" t="s">
        <v>289</v>
      </c>
    </row>
    <row r="52" spans="1:2" s="132" customFormat="1" ht="16.5" thickBot="1" x14ac:dyDescent="0.3">
      <c r="A52" s="133" t="s">
        <v>170</v>
      </c>
      <c r="B52" s="188">
        <v>0</v>
      </c>
    </row>
    <row r="53" spans="1:2" s="132" customFormat="1" ht="16.5" thickBot="1" x14ac:dyDescent="0.3">
      <c r="A53" s="133" t="s">
        <v>171</v>
      </c>
      <c r="B53" s="189">
        <f>'6.2. Паспорт фин осв ввод'!D24</f>
        <v>7.1219837199999997E-2</v>
      </c>
    </row>
    <row r="54" spans="1:2" s="132" customFormat="1" ht="16.5" thickBot="1" x14ac:dyDescent="0.3">
      <c r="A54" s="133" t="s">
        <v>172</v>
      </c>
      <c r="B54" s="188">
        <v>0</v>
      </c>
    </row>
    <row r="55" spans="1:2" s="132" customFormat="1" ht="16.5" thickBot="1" x14ac:dyDescent="0.3">
      <c r="A55" s="133" t="s">
        <v>173</v>
      </c>
      <c r="B55" s="189">
        <f>'6.2. Паспорт фин осв ввод'!D30</f>
        <v>6.3250539999999994E-2</v>
      </c>
    </row>
    <row r="56" spans="1:2" s="132" customFormat="1" ht="16.5" thickBot="1" x14ac:dyDescent="0.3">
      <c r="A56" s="133" t="s">
        <v>174</v>
      </c>
      <c r="B56" s="187" t="s">
        <v>289</v>
      </c>
    </row>
    <row r="57" spans="1:2" s="132" customFormat="1" ht="16.5" thickBot="1" x14ac:dyDescent="0.3">
      <c r="A57" s="187" t="s">
        <v>175</v>
      </c>
      <c r="B57" s="187" t="s">
        <v>271</v>
      </c>
    </row>
    <row r="58" spans="1:2" s="132" customFormat="1" ht="16.5" thickBot="1" x14ac:dyDescent="0.3">
      <c r="A58" s="187" t="s">
        <v>176</v>
      </c>
      <c r="B58" s="131" t="s">
        <v>289</v>
      </c>
    </row>
    <row r="59" spans="1:2" s="132" customFormat="1" ht="16.5" thickBot="1" x14ac:dyDescent="0.3">
      <c r="A59" s="187" t="s">
        <v>177</v>
      </c>
      <c r="B59" s="131" t="s">
        <v>289</v>
      </c>
    </row>
    <row r="60" spans="1:2" s="132" customFormat="1" ht="16.5" thickBot="1" x14ac:dyDescent="0.3">
      <c r="A60" s="187" t="s">
        <v>178</v>
      </c>
      <c r="B60" s="131" t="s">
        <v>289</v>
      </c>
    </row>
    <row r="61" spans="1:2" s="132" customFormat="1" ht="16.5" thickBot="1" x14ac:dyDescent="0.3">
      <c r="A61" s="187" t="s">
        <v>179</v>
      </c>
      <c r="B61" s="131" t="s">
        <v>289</v>
      </c>
    </row>
    <row r="62" spans="1:2" s="132" customFormat="1" ht="30.75" thickBot="1" x14ac:dyDescent="0.3">
      <c r="A62" s="187" t="s">
        <v>180</v>
      </c>
      <c r="B62" s="131" t="s">
        <v>289</v>
      </c>
    </row>
    <row r="63" spans="1:2" s="132" customFormat="1" ht="29.25" thickBot="1" x14ac:dyDescent="0.3">
      <c r="A63" s="133" t="s">
        <v>181</v>
      </c>
      <c r="B63" s="131" t="s">
        <v>289</v>
      </c>
    </row>
    <row r="64" spans="1:2" s="132" customFormat="1" ht="16.5" thickBot="1" x14ac:dyDescent="0.3">
      <c r="A64" s="187" t="s">
        <v>158</v>
      </c>
      <c r="B64" s="131" t="s">
        <v>289</v>
      </c>
    </row>
    <row r="65" spans="1:2" s="132" customFormat="1" ht="16.5" thickBot="1" x14ac:dyDescent="0.3">
      <c r="A65" s="187" t="s">
        <v>182</v>
      </c>
      <c r="B65" s="131" t="s">
        <v>289</v>
      </c>
    </row>
    <row r="66" spans="1:2" s="132" customFormat="1" ht="16.5" thickBot="1" x14ac:dyDescent="0.3">
      <c r="A66" s="187" t="s">
        <v>183</v>
      </c>
      <c r="B66" s="131" t="s">
        <v>289</v>
      </c>
    </row>
    <row r="67" spans="1:2" s="132" customFormat="1" ht="16.5" thickBot="1" x14ac:dyDescent="0.3">
      <c r="A67" s="190" t="s">
        <v>184</v>
      </c>
      <c r="B67" s="131" t="s">
        <v>289</v>
      </c>
    </row>
    <row r="68" spans="1:2" s="132" customFormat="1" ht="16.5" thickBot="1" x14ac:dyDescent="0.3">
      <c r="A68" s="133" t="s">
        <v>185</v>
      </c>
      <c r="B68" s="131" t="s">
        <v>289</v>
      </c>
    </row>
    <row r="69" spans="1:2" s="132" customFormat="1" ht="16.5" thickBot="1" x14ac:dyDescent="0.3">
      <c r="A69" s="187" t="s">
        <v>186</v>
      </c>
      <c r="B69" s="131" t="s">
        <v>289</v>
      </c>
    </row>
    <row r="70" spans="1:2" s="132" customFormat="1" ht="16.5" thickBot="1" x14ac:dyDescent="0.3">
      <c r="A70" s="187" t="s">
        <v>187</v>
      </c>
      <c r="B70" s="131" t="s">
        <v>289</v>
      </c>
    </row>
    <row r="71" spans="1:2" s="132" customFormat="1" ht="16.5" thickBot="1" x14ac:dyDescent="0.3">
      <c r="A71" s="187" t="s">
        <v>188</v>
      </c>
      <c r="B71" s="131" t="s">
        <v>289</v>
      </c>
    </row>
    <row r="72" spans="1:2" s="132" customFormat="1" ht="21" customHeight="1" thickBot="1" x14ac:dyDescent="0.3">
      <c r="A72" s="190" t="s">
        <v>189</v>
      </c>
      <c r="B72" s="187" t="s">
        <v>458</v>
      </c>
    </row>
    <row r="73" spans="1:2" s="132" customFormat="1" ht="29.25" thickBot="1" x14ac:dyDescent="0.3">
      <c r="A73" s="133" t="s">
        <v>190</v>
      </c>
      <c r="B73" s="131" t="s">
        <v>289</v>
      </c>
    </row>
    <row r="74" spans="1:2" s="132" customFormat="1" ht="16.5" thickBot="1" x14ac:dyDescent="0.3">
      <c r="A74" s="187" t="s">
        <v>191</v>
      </c>
      <c r="B74" s="131" t="s">
        <v>289</v>
      </c>
    </row>
    <row r="75" spans="1:2" s="132" customFormat="1" ht="16.5" thickBot="1" x14ac:dyDescent="0.3">
      <c r="A75" s="187" t="s">
        <v>192</v>
      </c>
      <c r="B75" s="131" t="s">
        <v>289</v>
      </c>
    </row>
    <row r="76" spans="1:2" s="132" customFormat="1" ht="16.5" thickBot="1" x14ac:dyDescent="0.3">
      <c r="A76" s="187" t="s">
        <v>193</v>
      </c>
      <c r="B76" s="131" t="s">
        <v>289</v>
      </c>
    </row>
    <row r="77" spans="1:2" s="132" customFormat="1" ht="16.5" thickBot="1" x14ac:dyDescent="0.3">
      <c r="A77" s="187" t="s">
        <v>194</v>
      </c>
      <c r="B77" s="131" t="s">
        <v>289</v>
      </c>
    </row>
    <row r="78" spans="1:2" s="132" customFormat="1" ht="16.5" thickBot="1" x14ac:dyDescent="0.3">
      <c r="A78" s="187" t="s">
        <v>195</v>
      </c>
      <c r="B78" s="131" t="s">
        <v>289</v>
      </c>
    </row>
    <row r="81" spans="1:2" x14ac:dyDescent="0.25">
      <c r="A81" s="60"/>
      <c r="B81" s="61"/>
    </row>
    <row r="82" spans="1:2" x14ac:dyDescent="0.25">
      <c r="B82" s="62"/>
    </row>
    <row r="83" spans="1:2" x14ac:dyDescent="0.25">
      <c r="B83" s="63"/>
    </row>
  </sheetData>
  <mergeCells count="9">
    <mergeCell ref="A18:B18"/>
    <mergeCell ref="A5:B5"/>
    <mergeCell ref="A7:B7"/>
    <mergeCell ref="A9:B9"/>
    <mergeCell ref="A10:B10"/>
    <mergeCell ref="A12:B12"/>
    <mergeCell ref="A13:B13"/>
    <mergeCell ref="A15:B15"/>
    <mergeCell ref="A16:B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zoomScale="60" workbookViewId="0">
      <selection activeCell="A15" sqref="A15:T15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29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79" customFormat="1" ht="15.75" x14ac:dyDescent="0.2">
      <c r="A4" s="213" t="str">
        <f>'1. паспорт местоположение'!$A$5</f>
        <v>Год раскрытия информации: 2019 год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5" s="79" customFormat="1" ht="15.75" x14ac:dyDescent="0.2">
      <c r="A5" s="81"/>
    </row>
    <row r="6" spans="1:25" s="79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5" s="79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5" s="79" customFormat="1" ht="18.75" customHeight="1" x14ac:dyDescent="0.2">
      <c r="A8" s="215" t="s">
        <v>264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5" s="79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5" s="79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5" s="79" customFormat="1" ht="18.75" customHeight="1" x14ac:dyDescent="0.2">
      <c r="A11" s="215" t="str">
        <f>'1. паспорт местоположение'!A12:C12</f>
        <v>I_Che223_18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5" s="79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5" s="82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</row>
    <row r="14" spans="1:25" s="83" customFormat="1" ht="15.75" x14ac:dyDescent="0.2">
      <c r="A14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5" s="83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5" s="135" customFormat="1" ht="15" customHeight="1" x14ac:dyDescent="0.2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134"/>
      <c r="U16" s="134"/>
      <c r="V16" s="134"/>
      <c r="W16" s="134"/>
      <c r="X16" s="134"/>
      <c r="Y16" s="134"/>
    </row>
    <row r="17" spans="1:28" s="2" customFormat="1" ht="45.75" customHeight="1" x14ac:dyDescent="0.2">
      <c r="A17" s="207" t="s">
        <v>296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17" t="s">
        <v>1</v>
      </c>
      <c r="B19" s="217" t="s">
        <v>297</v>
      </c>
      <c r="C19" s="218" t="s">
        <v>298</v>
      </c>
      <c r="D19" s="217" t="s">
        <v>299</v>
      </c>
      <c r="E19" s="217" t="s">
        <v>300</v>
      </c>
      <c r="F19" s="217" t="s">
        <v>301</v>
      </c>
      <c r="G19" s="217" t="s">
        <v>302</v>
      </c>
      <c r="H19" s="217" t="s">
        <v>303</v>
      </c>
      <c r="I19" s="217" t="s">
        <v>304</v>
      </c>
      <c r="J19" s="217" t="s">
        <v>305</v>
      </c>
      <c r="K19" s="217" t="s">
        <v>306</v>
      </c>
      <c r="L19" s="217" t="s">
        <v>307</v>
      </c>
      <c r="M19" s="217" t="s">
        <v>308</v>
      </c>
      <c r="N19" s="217" t="s">
        <v>309</v>
      </c>
      <c r="O19" s="217" t="s">
        <v>310</v>
      </c>
      <c r="P19" s="217" t="s">
        <v>311</v>
      </c>
      <c r="Q19" s="217" t="s">
        <v>312</v>
      </c>
      <c r="R19" s="217"/>
      <c r="S19" s="220" t="s">
        <v>313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17"/>
      <c r="B20" s="217"/>
      <c r="C20" s="219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136" t="s">
        <v>314</v>
      </c>
      <c r="R20" s="137" t="s">
        <v>315</v>
      </c>
      <c r="S20" s="220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36">
        <v>1</v>
      </c>
      <c r="B21" s="138">
        <v>2</v>
      </c>
      <c r="C21" s="136">
        <v>3</v>
      </c>
      <c r="D21" s="138">
        <v>4</v>
      </c>
      <c r="E21" s="136">
        <v>5</v>
      </c>
      <c r="F21" s="138">
        <v>6</v>
      </c>
      <c r="G21" s="136">
        <v>7</v>
      </c>
      <c r="H21" s="138">
        <v>8</v>
      </c>
      <c r="I21" s="136">
        <v>9</v>
      </c>
      <c r="J21" s="138">
        <v>10</v>
      </c>
      <c r="K21" s="136">
        <v>11</v>
      </c>
      <c r="L21" s="138">
        <v>12</v>
      </c>
      <c r="M21" s="136">
        <v>13</v>
      </c>
      <c r="N21" s="138">
        <v>14</v>
      </c>
      <c r="O21" s="136">
        <v>15</v>
      </c>
      <c r="P21" s="138">
        <v>16</v>
      </c>
      <c r="Q21" s="136">
        <v>17</v>
      </c>
      <c r="R21" s="138">
        <v>18</v>
      </c>
      <c r="S21" s="136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32.25" customHeight="1" x14ac:dyDescent="0.2">
      <c r="A22" s="136"/>
      <c r="B22" s="138" t="s">
        <v>289</v>
      </c>
      <c r="C22" s="138" t="s">
        <v>289</v>
      </c>
      <c r="D22" s="138" t="s">
        <v>289</v>
      </c>
      <c r="E22" s="138" t="s">
        <v>289</v>
      </c>
      <c r="F22" s="138" t="s">
        <v>289</v>
      </c>
      <c r="G22" s="138" t="s">
        <v>289</v>
      </c>
      <c r="H22" s="138" t="s">
        <v>289</v>
      </c>
      <c r="I22" s="138" t="s">
        <v>289</v>
      </c>
      <c r="J22" s="138" t="s">
        <v>289</v>
      </c>
      <c r="K22" s="138" t="s">
        <v>289</v>
      </c>
      <c r="L22" s="138" t="s">
        <v>289</v>
      </c>
      <c r="M22" s="138" t="s">
        <v>289</v>
      </c>
      <c r="N22" s="138" t="s">
        <v>289</v>
      </c>
      <c r="O22" s="138" t="s">
        <v>289</v>
      </c>
      <c r="P22" s="138" t="s">
        <v>289</v>
      </c>
      <c r="Q22" s="138" t="s">
        <v>289</v>
      </c>
      <c r="R22" s="138" t="s">
        <v>289</v>
      </c>
      <c r="S22" s="138" t="s">
        <v>289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J19:J20"/>
    <mergeCell ref="A18:S18"/>
    <mergeCell ref="A19:A20"/>
    <mergeCell ref="N19:N20"/>
    <mergeCell ref="D19:D20"/>
    <mergeCell ref="H19:H20"/>
    <mergeCell ref="A10:T10"/>
    <mergeCell ref="A11:T11"/>
    <mergeCell ref="A12:T12"/>
    <mergeCell ref="A13:T13"/>
    <mergeCell ref="A14:T14"/>
    <mergeCell ref="A15:T15"/>
    <mergeCell ref="A17:S17"/>
    <mergeCell ref="B19:B20"/>
    <mergeCell ref="C19:C20"/>
    <mergeCell ref="E19:E20"/>
    <mergeCell ref="F19:F20"/>
    <mergeCell ref="K19:K20"/>
    <mergeCell ref="L19:L20"/>
    <mergeCell ref="Q19:R19"/>
    <mergeCell ref="S19:S20"/>
    <mergeCell ref="I19:I20"/>
    <mergeCell ref="A16:S16"/>
    <mergeCell ref="G19:G20"/>
    <mergeCell ref="O19:O20"/>
    <mergeCell ref="P19:P20"/>
    <mergeCell ref="M19:M20"/>
    <mergeCell ref="A4:T4"/>
    <mergeCell ref="A6:T6"/>
    <mergeCell ref="A7:T7"/>
    <mergeCell ref="A8:T8"/>
    <mergeCell ref="A9:T9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9" zoomScale="75" zoomScaleNormal="60" zoomScaleSheetLayoutView="85" workbookViewId="0">
      <selection activeCell="N28" sqref="N28"/>
    </sheetView>
  </sheetViews>
  <sheetFormatPr defaultColWidth="10.7109375" defaultRowHeight="15.75" x14ac:dyDescent="0.25"/>
  <cols>
    <col min="1" max="1" width="9.5703125" style="34" customWidth="1"/>
    <col min="2" max="2" width="24.5703125" style="34" customWidth="1"/>
    <col min="3" max="3" width="25.42578125" style="34" customWidth="1"/>
    <col min="4" max="4" width="26.85546875" style="34" customWidth="1"/>
    <col min="5" max="5" width="13.85546875" style="34" customWidth="1"/>
    <col min="6" max="6" width="20.42578125" style="34" customWidth="1"/>
    <col min="7" max="7" width="13.28515625" style="34" customWidth="1"/>
    <col min="8" max="8" width="20.14062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16384" width="10.7109375" style="34"/>
  </cols>
  <sheetData>
    <row r="1" spans="1:20" s="76" customFormat="1" ht="15" customHeight="1" x14ac:dyDescent="0.25">
      <c r="T1" s="77" t="s">
        <v>22</v>
      </c>
    </row>
    <row r="2" spans="1:20" s="79" customFormat="1" ht="18.75" customHeight="1" x14ac:dyDescent="0.3">
      <c r="A2" s="78"/>
      <c r="T2" s="80" t="s">
        <v>6</v>
      </c>
    </row>
    <row r="3" spans="1:20" s="79" customFormat="1" ht="18.75" customHeight="1" x14ac:dyDescent="0.3">
      <c r="A3" s="78"/>
      <c r="T3" s="80" t="s">
        <v>21</v>
      </c>
    </row>
    <row r="4" spans="1:20" s="79" customFormat="1" ht="18.75" customHeight="1" x14ac:dyDescent="0.3">
      <c r="A4" s="78"/>
      <c r="T4" s="80"/>
    </row>
    <row r="5" spans="1:20" s="79" customFormat="1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0" s="79" customFormat="1" x14ac:dyDescent="0.2">
      <c r="A6" s="81"/>
    </row>
    <row r="7" spans="1:20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0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79" customFormat="1" ht="18.75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79" customFormat="1" ht="18.75" customHeight="1" x14ac:dyDescent="0.2">
      <c r="A12" s="215" t="str">
        <f>'1. паспорт местоположение'!A12:C12</f>
        <v>I_Che223_18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82" customFormat="1" ht="15.75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83" customFormat="1" x14ac:dyDescent="0.2">
      <c r="A15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0" s="83" customFormat="1" ht="15" customHeight="1" x14ac:dyDescent="0.2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</row>
    <row r="18" spans="1:20" s="83" customFormat="1" ht="15" customHeight="1" x14ac:dyDescent="0.2">
      <c r="A18" s="237" t="s">
        <v>248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</row>
    <row r="19" spans="1:20" s="84" customFormat="1" ht="21" customHeight="1" x14ac:dyDescent="0.25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s="76" customFormat="1" ht="46.5" customHeight="1" x14ac:dyDescent="0.25">
      <c r="A20" s="226" t="s">
        <v>1</v>
      </c>
      <c r="B20" s="229" t="s">
        <v>135</v>
      </c>
      <c r="C20" s="230"/>
      <c r="D20" s="233" t="s">
        <v>40</v>
      </c>
      <c r="E20" s="229" t="s">
        <v>260</v>
      </c>
      <c r="F20" s="230"/>
      <c r="G20" s="229" t="s">
        <v>145</v>
      </c>
      <c r="H20" s="230"/>
      <c r="I20" s="229" t="s">
        <v>39</v>
      </c>
      <c r="J20" s="230"/>
      <c r="K20" s="233" t="s">
        <v>38</v>
      </c>
      <c r="L20" s="229" t="s">
        <v>37</v>
      </c>
      <c r="M20" s="230"/>
      <c r="N20" s="229" t="s">
        <v>257</v>
      </c>
      <c r="O20" s="230"/>
      <c r="P20" s="233" t="s">
        <v>36</v>
      </c>
      <c r="Q20" s="224" t="s">
        <v>35</v>
      </c>
      <c r="R20" s="225"/>
      <c r="S20" s="224" t="s">
        <v>34</v>
      </c>
      <c r="T20" s="225"/>
    </row>
    <row r="21" spans="1:20" s="76" customFormat="1" ht="160.5" customHeight="1" x14ac:dyDescent="0.25">
      <c r="A21" s="227"/>
      <c r="B21" s="231"/>
      <c r="C21" s="232"/>
      <c r="D21" s="236"/>
      <c r="E21" s="231"/>
      <c r="F21" s="232"/>
      <c r="G21" s="231"/>
      <c r="H21" s="232"/>
      <c r="I21" s="231"/>
      <c r="J21" s="232"/>
      <c r="K21" s="234"/>
      <c r="L21" s="231"/>
      <c r="M21" s="232"/>
      <c r="N21" s="231"/>
      <c r="O21" s="232"/>
      <c r="P21" s="234"/>
      <c r="Q21" s="86" t="s">
        <v>33</v>
      </c>
      <c r="R21" s="86" t="s">
        <v>247</v>
      </c>
      <c r="S21" s="86" t="s">
        <v>32</v>
      </c>
      <c r="T21" s="86" t="s">
        <v>31</v>
      </c>
    </row>
    <row r="22" spans="1:20" s="76" customFormat="1" ht="31.5" customHeight="1" x14ac:dyDescent="0.25">
      <c r="A22" s="228"/>
      <c r="B22" s="86" t="s">
        <v>29</v>
      </c>
      <c r="C22" s="86" t="s">
        <v>30</v>
      </c>
      <c r="D22" s="234"/>
      <c r="E22" s="86" t="s">
        <v>29</v>
      </c>
      <c r="F22" s="86" t="s">
        <v>30</v>
      </c>
      <c r="G22" s="86" t="s">
        <v>29</v>
      </c>
      <c r="H22" s="86" t="s">
        <v>30</v>
      </c>
      <c r="I22" s="86" t="s">
        <v>29</v>
      </c>
      <c r="J22" s="86" t="s">
        <v>30</v>
      </c>
      <c r="K22" s="86" t="s">
        <v>29</v>
      </c>
      <c r="L22" s="86" t="s">
        <v>29</v>
      </c>
      <c r="M22" s="86" t="s">
        <v>30</v>
      </c>
      <c r="N22" s="86" t="s">
        <v>29</v>
      </c>
      <c r="O22" s="86" t="s">
        <v>30</v>
      </c>
      <c r="P22" s="85" t="s">
        <v>29</v>
      </c>
      <c r="Q22" s="86" t="s">
        <v>29</v>
      </c>
      <c r="R22" s="86" t="s">
        <v>29</v>
      </c>
      <c r="S22" s="86" t="s">
        <v>29</v>
      </c>
      <c r="T22" s="86" t="s">
        <v>29</v>
      </c>
    </row>
    <row r="23" spans="1:20" s="76" customFormat="1" x14ac:dyDescent="0.25">
      <c r="A23" s="87">
        <v>1</v>
      </c>
      <c r="B23" s="87">
        <v>2</v>
      </c>
      <c r="C23" s="87">
        <v>3</v>
      </c>
      <c r="D23" s="87">
        <v>4</v>
      </c>
      <c r="E23" s="87">
        <v>5</v>
      </c>
      <c r="F23" s="87">
        <v>6</v>
      </c>
      <c r="G23" s="87">
        <v>7</v>
      </c>
      <c r="H23" s="87">
        <v>8</v>
      </c>
      <c r="I23" s="128">
        <v>9</v>
      </c>
      <c r="J23" s="87">
        <v>10</v>
      </c>
      <c r="K23" s="87">
        <v>11</v>
      </c>
      <c r="L23" s="87">
        <v>12</v>
      </c>
      <c r="M23" s="87">
        <v>13</v>
      </c>
      <c r="N23" s="87">
        <v>14</v>
      </c>
      <c r="O23" s="87">
        <v>15</v>
      </c>
      <c r="P23" s="87">
        <v>16</v>
      </c>
      <c r="Q23" s="87">
        <v>17</v>
      </c>
      <c r="R23" s="87">
        <v>18</v>
      </c>
      <c r="S23" s="87">
        <v>19</v>
      </c>
      <c r="T23" s="87">
        <v>20</v>
      </c>
    </row>
    <row r="24" spans="1:20" s="84" customFormat="1" ht="54" customHeight="1" x14ac:dyDescent="0.25">
      <c r="A24" s="88">
        <v>1</v>
      </c>
      <c r="B24" s="89" t="s">
        <v>464</v>
      </c>
      <c r="C24" s="89" t="str">
        <f>B24</f>
        <v>ПС 110/35 кВ Гудермес-Тяговая</v>
      </c>
      <c r="D24" s="192" t="s">
        <v>465</v>
      </c>
      <c r="E24" s="90" t="s">
        <v>459</v>
      </c>
      <c r="F24" s="90" t="s">
        <v>466</v>
      </c>
      <c r="G24" s="90" t="s">
        <v>459</v>
      </c>
      <c r="H24" s="90" t="s">
        <v>466</v>
      </c>
      <c r="I24" s="128" t="s">
        <v>289</v>
      </c>
      <c r="J24" s="91" t="s">
        <v>453</v>
      </c>
      <c r="K24" s="128" t="s">
        <v>289</v>
      </c>
      <c r="L24" s="128">
        <v>110</v>
      </c>
      <c r="M24" s="128">
        <v>110</v>
      </c>
      <c r="N24" s="191">
        <v>40</v>
      </c>
      <c r="O24" s="191">
        <v>40</v>
      </c>
      <c r="P24" s="128" t="s">
        <v>289</v>
      </c>
      <c r="Q24" s="128" t="s">
        <v>454</v>
      </c>
      <c r="R24" s="128" t="s">
        <v>454</v>
      </c>
      <c r="S24" s="128" t="s">
        <v>454</v>
      </c>
      <c r="T24" s="128" t="s">
        <v>454</v>
      </c>
    </row>
    <row r="25" spans="1:20" s="76" customFormat="1" ht="3" customHeight="1" x14ac:dyDescent="0.25"/>
    <row r="26" spans="1:20" s="92" customFormat="1" ht="12.75" x14ac:dyDescent="0.2">
      <c r="B26" s="93"/>
      <c r="C26" s="93"/>
      <c r="K26" s="93"/>
    </row>
    <row r="27" spans="1:20" s="76" customFormat="1" x14ac:dyDescent="0.25"/>
  </sheetData>
  <mergeCells count="26">
    <mergeCell ref="A14:T14"/>
    <mergeCell ref="A15:T15"/>
    <mergeCell ref="A16:T16"/>
    <mergeCell ref="A17:T17"/>
    <mergeCell ref="P20:P21"/>
    <mergeCell ref="D20:D22"/>
    <mergeCell ref="G20:H21"/>
    <mergeCell ref="I20:J21"/>
    <mergeCell ref="A18:T18"/>
    <mergeCell ref="A19:T19"/>
    <mergeCell ref="A5:T5"/>
    <mergeCell ref="Q20:R20"/>
    <mergeCell ref="S20:T20"/>
    <mergeCell ref="A7:T7"/>
    <mergeCell ref="A8:T8"/>
    <mergeCell ref="A9:T9"/>
    <mergeCell ref="A20:A22"/>
    <mergeCell ref="E20:F21"/>
    <mergeCell ref="L20:M21"/>
    <mergeCell ref="N20:O21"/>
    <mergeCell ref="A10:T10"/>
    <mergeCell ref="A11:T11"/>
    <mergeCell ref="A12:T12"/>
    <mergeCell ref="A13:T13"/>
    <mergeCell ref="B20:C21"/>
    <mergeCell ref="K20:K21"/>
  </mergeCells>
  <phoneticPr fontId="49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zoomScale="60" workbookViewId="0">
      <selection activeCell="A8" sqref="A8:T8"/>
    </sheetView>
  </sheetViews>
  <sheetFormatPr defaultColWidth="17.7109375" defaultRowHeight="15.75" x14ac:dyDescent="0.25"/>
  <cols>
    <col min="1" max="3" width="10.710937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 customWidth="1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16384" width="17.7109375" style="34"/>
  </cols>
  <sheetData>
    <row r="1" spans="1:27" ht="25.5" customHeight="1" x14ac:dyDescent="0.25">
      <c r="AA1" s="29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79" customFormat="1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7" s="79" customFormat="1" x14ac:dyDescent="0.2">
      <c r="A6" s="81"/>
    </row>
    <row r="7" spans="1:27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7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7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7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7" s="79" customFormat="1" ht="5.25" customHeight="1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7" s="79" customFormat="1" ht="16.5" customHeight="1" x14ac:dyDescent="0.2">
      <c r="A12" s="215" t="str">
        <f>'1. паспорт местоположение'!A12:C12</f>
        <v>I_Che223_18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7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7" s="82" customFormat="1" ht="3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7" s="83" customFormat="1" ht="21.75" customHeight="1" x14ac:dyDescent="0.2">
      <c r="A15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7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</row>
    <row r="19" spans="1:27" ht="25.5" customHeight="1" x14ac:dyDescent="0.25">
      <c r="A19" s="208" t="s">
        <v>316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</row>
    <row r="20" spans="1:27" s="139" customFormat="1" ht="21" customHeight="1" x14ac:dyDescent="0.25"/>
    <row r="21" spans="1:27" ht="15.75" customHeight="1" x14ac:dyDescent="0.25">
      <c r="A21" s="245" t="s">
        <v>1</v>
      </c>
      <c r="B21" s="239" t="s">
        <v>317</v>
      </c>
      <c r="C21" s="240"/>
      <c r="D21" s="239" t="s">
        <v>318</v>
      </c>
      <c r="E21" s="240"/>
      <c r="F21" s="243" t="s">
        <v>306</v>
      </c>
      <c r="G21" s="244"/>
      <c r="H21" s="244"/>
      <c r="I21" s="248"/>
      <c r="J21" s="245" t="s">
        <v>319</v>
      </c>
      <c r="K21" s="239" t="s">
        <v>320</v>
      </c>
      <c r="L21" s="240"/>
      <c r="M21" s="239" t="s">
        <v>321</v>
      </c>
      <c r="N21" s="240"/>
      <c r="O21" s="239" t="s">
        <v>322</v>
      </c>
      <c r="P21" s="240"/>
      <c r="Q21" s="239" t="s">
        <v>323</v>
      </c>
      <c r="R21" s="240"/>
      <c r="S21" s="245" t="s">
        <v>324</v>
      </c>
      <c r="T21" s="245" t="s">
        <v>325</v>
      </c>
      <c r="U21" s="245" t="s">
        <v>326</v>
      </c>
      <c r="V21" s="239" t="s">
        <v>327</v>
      </c>
      <c r="W21" s="240"/>
      <c r="X21" s="243" t="s">
        <v>35</v>
      </c>
      <c r="Y21" s="244"/>
      <c r="Z21" s="243" t="s">
        <v>34</v>
      </c>
      <c r="AA21" s="244"/>
    </row>
    <row r="22" spans="1:27" ht="216" customHeight="1" x14ac:dyDescent="0.25">
      <c r="A22" s="246"/>
      <c r="B22" s="241"/>
      <c r="C22" s="242"/>
      <c r="D22" s="241"/>
      <c r="E22" s="242"/>
      <c r="F22" s="243" t="s">
        <v>328</v>
      </c>
      <c r="G22" s="248"/>
      <c r="H22" s="243" t="s">
        <v>329</v>
      </c>
      <c r="I22" s="248"/>
      <c r="J22" s="247"/>
      <c r="K22" s="241"/>
      <c r="L22" s="242"/>
      <c r="M22" s="241"/>
      <c r="N22" s="242"/>
      <c r="O22" s="241"/>
      <c r="P22" s="242"/>
      <c r="Q22" s="241"/>
      <c r="R22" s="242"/>
      <c r="S22" s="247"/>
      <c r="T22" s="247"/>
      <c r="U22" s="247"/>
      <c r="V22" s="241"/>
      <c r="W22" s="242"/>
      <c r="X22" s="141" t="s">
        <v>33</v>
      </c>
      <c r="Y22" s="141" t="s">
        <v>247</v>
      </c>
      <c r="Z22" s="141" t="s">
        <v>32</v>
      </c>
      <c r="AA22" s="141" t="s">
        <v>31</v>
      </c>
    </row>
    <row r="23" spans="1:27" ht="60" customHeight="1" x14ac:dyDescent="0.25">
      <c r="A23" s="247"/>
      <c r="B23" s="140" t="s">
        <v>29</v>
      </c>
      <c r="C23" s="140" t="s">
        <v>30</v>
      </c>
      <c r="D23" s="140" t="s">
        <v>29</v>
      </c>
      <c r="E23" s="140" t="s">
        <v>30</v>
      </c>
      <c r="F23" s="140" t="s">
        <v>29</v>
      </c>
      <c r="G23" s="140" t="s">
        <v>30</v>
      </c>
      <c r="H23" s="140" t="s">
        <v>29</v>
      </c>
      <c r="I23" s="140" t="s">
        <v>30</v>
      </c>
      <c r="J23" s="140" t="s">
        <v>29</v>
      </c>
      <c r="K23" s="140" t="s">
        <v>29</v>
      </c>
      <c r="L23" s="140" t="s">
        <v>30</v>
      </c>
      <c r="M23" s="140" t="s">
        <v>29</v>
      </c>
      <c r="N23" s="140" t="s">
        <v>30</v>
      </c>
      <c r="O23" s="140" t="s">
        <v>29</v>
      </c>
      <c r="P23" s="140" t="s">
        <v>30</v>
      </c>
      <c r="Q23" s="140" t="s">
        <v>29</v>
      </c>
      <c r="R23" s="140" t="s">
        <v>30</v>
      </c>
      <c r="S23" s="140" t="s">
        <v>29</v>
      </c>
      <c r="T23" s="140" t="s">
        <v>29</v>
      </c>
      <c r="U23" s="140" t="s">
        <v>29</v>
      </c>
      <c r="V23" s="140" t="s">
        <v>29</v>
      </c>
      <c r="W23" s="140" t="s">
        <v>30</v>
      </c>
      <c r="X23" s="140" t="s">
        <v>29</v>
      </c>
      <c r="Y23" s="140" t="s">
        <v>29</v>
      </c>
      <c r="Z23" s="141" t="s">
        <v>29</v>
      </c>
      <c r="AA23" s="141" t="s">
        <v>29</v>
      </c>
    </row>
    <row r="24" spans="1:27" x14ac:dyDescent="0.25">
      <c r="A24" s="142">
        <v>1</v>
      </c>
      <c r="B24" s="142">
        <v>2</v>
      </c>
      <c r="C24" s="142">
        <v>3</v>
      </c>
      <c r="D24" s="142">
        <v>4</v>
      </c>
      <c r="E24" s="142">
        <v>5</v>
      </c>
      <c r="F24" s="142">
        <v>6</v>
      </c>
      <c r="G24" s="142">
        <v>7</v>
      </c>
      <c r="H24" s="142">
        <v>8</v>
      </c>
      <c r="I24" s="142">
        <v>9</v>
      </c>
      <c r="J24" s="142">
        <v>10</v>
      </c>
      <c r="K24" s="142">
        <v>11</v>
      </c>
      <c r="L24" s="142">
        <v>12</v>
      </c>
      <c r="M24" s="142">
        <v>13</v>
      </c>
      <c r="N24" s="142">
        <v>14</v>
      </c>
      <c r="O24" s="142">
        <v>15</v>
      </c>
      <c r="P24" s="142">
        <v>16</v>
      </c>
      <c r="Q24" s="142">
        <v>19</v>
      </c>
      <c r="R24" s="142">
        <v>20</v>
      </c>
      <c r="S24" s="142">
        <v>21</v>
      </c>
      <c r="T24" s="142">
        <v>22</v>
      </c>
      <c r="U24" s="142">
        <v>23</v>
      </c>
      <c r="V24" s="142">
        <v>24</v>
      </c>
      <c r="W24" s="142">
        <v>25</v>
      </c>
      <c r="X24" s="142">
        <v>26</v>
      </c>
      <c r="Y24" s="142">
        <v>27</v>
      </c>
      <c r="Z24" s="142">
        <v>28</v>
      </c>
      <c r="AA24" s="142">
        <v>29</v>
      </c>
    </row>
    <row r="25" spans="1:27" s="139" customFormat="1" ht="24" customHeight="1" x14ac:dyDescent="0.25">
      <c r="A25" s="143" t="s">
        <v>289</v>
      </c>
      <c r="B25" s="143" t="s">
        <v>289</v>
      </c>
      <c r="C25" s="143" t="s">
        <v>289</v>
      </c>
      <c r="D25" s="143" t="s">
        <v>289</v>
      </c>
      <c r="E25" s="143" t="s">
        <v>289</v>
      </c>
      <c r="F25" s="143" t="s">
        <v>289</v>
      </c>
      <c r="G25" s="143" t="s">
        <v>289</v>
      </c>
      <c r="H25" s="143" t="s">
        <v>289</v>
      </c>
      <c r="I25" s="143" t="s">
        <v>289</v>
      </c>
      <c r="J25" s="143" t="s">
        <v>289</v>
      </c>
      <c r="K25" s="143" t="s">
        <v>289</v>
      </c>
      <c r="L25" s="143" t="s">
        <v>289</v>
      </c>
      <c r="M25" s="143" t="s">
        <v>289</v>
      </c>
      <c r="N25" s="143" t="s">
        <v>289</v>
      </c>
      <c r="O25" s="143" t="s">
        <v>289</v>
      </c>
      <c r="P25" s="143" t="s">
        <v>289</v>
      </c>
      <c r="Q25" s="143" t="s">
        <v>289</v>
      </c>
      <c r="R25" s="143" t="s">
        <v>289</v>
      </c>
      <c r="S25" s="143" t="s">
        <v>289</v>
      </c>
      <c r="T25" s="143" t="s">
        <v>289</v>
      </c>
      <c r="U25" s="143" t="s">
        <v>289</v>
      </c>
      <c r="V25" s="143" t="s">
        <v>289</v>
      </c>
      <c r="W25" s="143" t="s">
        <v>289</v>
      </c>
      <c r="X25" s="143" t="s">
        <v>289</v>
      </c>
      <c r="Y25" s="143" t="s">
        <v>289</v>
      </c>
      <c r="Z25" s="143" t="s">
        <v>289</v>
      </c>
      <c r="AA25" s="143" t="s">
        <v>289</v>
      </c>
    </row>
    <row r="26" spans="1:27" ht="3" customHeight="1" x14ac:dyDescent="0.25"/>
    <row r="27" spans="1:27" s="145" customFormat="1" ht="12.75" x14ac:dyDescent="0.2">
      <c r="A27" s="144"/>
      <c r="B27" s="144"/>
      <c r="C27" s="144"/>
      <c r="E27" s="144"/>
      <c r="X27" s="146"/>
      <c r="Y27" s="146"/>
      <c r="Z27" s="146"/>
      <c r="AA27" s="146"/>
    </row>
    <row r="28" spans="1:27" s="145" customFormat="1" ht="12.75" x14ac:dyDescent="0.2">
      <c r="A28" s="144"/>
      <c r="B28" s="144"/>
      <c r="C28" s="144"/>
    </row>
  </sheetData>
  <mergeCells count="30">
    <mergeCell ref="T21:T22"/>
    <mergeCell ref="U21:U22"/>
    <mergeCell ref="M21:N22"/>
    <mergeCell ref="O21:P22"/>
    <mergeCell ref="J21:J22"/>
    <mergeCell ref="Q21:R22"/>
    <mergeCell ref="S21:S22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A11:T11"/>
    <mergeCell ref="A12:T12"/>
    <mergeCell ref="A5:T5"/>
    <mergeCell ref="A7:T7"/>
    <mergeCell ref="A8:T8"/>
    <mergeCell ref="A9:T9"/>
    <mergeCell ref="A10:T10"/>
  </mergeCells>
  <phoneticPr fontId="49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2"/>
  <sheetViews>
    <sheetView zoomScale="60" zoomScaleNormal="10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101.140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2" s="10" customFormat="1" ht="18.75" customHeight="1" x14ac:dyDescent="0.2">
      <c r="A1" s="16"/>
      <c r="C1" s="29" t="s">
        <v>22</v>
      </c>
      <c r="E1" s="14"/>
      <c r="F1" s="14"/>
    </row>
    <row r="2" spans="1:22" s="10" customFormat="1" ht="18.75" customHeight="1" x14ac:dyDescent="0.3">
      <c r="A2" s="16"/>
      <c r="C2" s="13" t="s">
        <v>6</v>
      </c>
      <c r="E2" s="14"/>
      <c r="F2" s="14"/>
    </row>
    <row r="3" spans="1:22" s="10" customFormat="1" ht="18.75" x14ac:dyDescent="0.3">
      <c r="A3" s="15"/>
      <c r="C3" s="13" t="s">
        <v>21</v>
      </c>
      <c r="E3" s="14"/>
      <c r="F3" s="14"/>
    </row>
    <row r="4" spans="1:22" s="10" customFormat="1" ht="18.75" x14ac:dyDescent="0.3">
      <c r="A4" s="15"/>
      <c r="C4" s="13"/>
      <c r="E4" s="14"/>
      <c r="F4" s="14"/>
    </row>
    <row r="5" spans="1:22" s="10" customFormat="1" ht="15.75" x14ac:dyDescent="0.25">
      <c r="A5" s="205" t="str">
        <f>'1. паспорт местоположение'!$A$5</f>
        <v>Год раскрытия информации: 2019 год</v>
      </c>
      <c r="B5" s="205"/>
      <c r="C5" s="205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9" t="s">
        <v>5</v>
      </c>
      <c r="B7" s="209"/>
      <c r="C7" s="20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0" t="s">
        <v>265</v>
      </c>
      <c r="B9" s="210"/>
      <c r="C9" s="21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6" t="s">
        <v>4</v>
      </c>
      <c r="B10" s="206"/>
      <c r="C10" s="20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0" t="str">
        <f>'1. паспорт местоположение'!A12:C12</f>
        <v>I_Che223_18</v>
      </c>
      <c r="B12" s="210"/>
      <c r="C12" s="21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6" t="s">
        <v>3</v>
      </c>
      <c r="B13" s="206"/>
      <c r="C13" s="20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210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0"/>
      <c r="C15" s="21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6" t="s">
        <v>2</v>
      </c>
      <c r="B16" s="206"/>
      <c r="C16" s="20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1" s="2" customFormat="1" ht="15" customHeight="1" x14ac:dyDescent="0.2">
      <c r="A17" s="249"/>
      <c r="B17" s="249"/>
      <c r="C17" s="24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7" t="s">
        <v>246</v>
      </c>
      <c r="B18" s="207"/>
      <c r="C18" s="20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1"/>
      <c r="T20" s="21"/>
      <c r="U20" s="21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1"/>
      <c r="T21" s="21"/>
      <c r="U21" s="21"/>
    </row>
    <row r="22" spans="1:21" s="2" customFormat="1" ht="33.75" customHeight="1" x14ac:dyDescent="0.2">
      <c r="A22" s="18" t="s">
        <v>18</v>
      </c>
      <c r="B22" s="24" t="s">
        <v>252</v>
      </c>
      <c r="C22" s="173" t="s">
        <v>456</v>
      </c>
      <c r="D22" s="23"/>
      <c r="E22" s="23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1"/>
      <c r="R22" s="21"/>
      <c r="S22" s="21"/>
      <c r="T22" s="21"/>
      <c r="U22" s="21"/>
    </row>
    <row r="23" spans="1:21" ht="42.75" customHeight="1" x14ac:dyDescent="0.25">
      <c r="A23" s="18" t="s">
        <v>17</v>
      </c>
      <c r="B23" s="20" t="s">
        <v>14</v>
      </c>
      <c r="C23" s="19" t="s">
        <v>467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ht="55.5" customHeight="1" x14ac:dyDescent="0.25">
      <c r="A24" s="18" t="s">
        <v>16</v>
      </c>
      <c r="B24" s="20" t="s">
        <v>258</v>
      </c>
      <c r="C24" s="19" t="s">
        <v>462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ht="39" customHeight="1" x14ac:dyDescent="0.25">
      <c r="A25" s="18" t="s">
        <v>15</v>
      </c>
      <c r="B25" s="20" t="s">
        <v>259</v>
      </c>
      <c r="C25" s="65" t="s">
        <v>289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33.75" customHeight="1" x14ac:dyDescent="0.25">
      <c r="A26" s="18" t="s">
        <v>13</v>
      </c>
      <c r="B26" s="20" t="s">
        <v>143</v>
      </c>
      <c r="C26" s="25" t="s">
        <v>295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ht="42.75" customHeight="1" x14ac:dyDescent="0.25">
      <c r="A27" s="18" t="s">
        <v>12</v>
      </c>
      <c r="B27" s="20" t="s">
        <v>253</v>
      </c>
      <c r="C27" s="185" t="s">
        <v>468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33.75" customHeight="1" x14ac:dyDescent="0.25">
      <c r="A28" s="18" t="s">
        <v>10</v>
      </c>
      <c r="B28" s="20" t="s">
        <v>11</v>
      </c>
      <c r="C28" s="197">
        <f>VLOOKUP($A$12,'[1]6.2. отчет'!$D:$OP,399,0)</f>
        <v>2018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ht="37.5" customHeight="1" x14ac:dyDescent="0.25">
      <c r="A29" s="18" t="s">
        <v>8</v>
      </c>
      <c r="B29" s="19" t="s">
        <v>9</v>
      </c>
      <c r="C29" s="197">
        <f>VLOOKUP($A$12,'[1]6.2. отчет'!$D:$OP,402,0)</f>
        <v>2019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ht="42.75" customHeight="1" x14ac:dyDescent="0.25">
      <c r="A30" s="18" t="s">
        <v>26</v>
      </c>
      <c r="B30" s="19" t="s">
        <v>7</v>
      </c>
      <c r="C30" s="197" t="str">
        <f>VLOOKUP($A$12,'[1]6.2. отчет'!$D:$OP,403,0)</f>
        <v>с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spans="1:2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  <row r="86" spans="1:2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</row>
    <row r="87" spans="1:2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spans="1:2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</row>
    <row r="89" spans="1:2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</row>
    <row r="90" spans="1:2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</row>
    <row r="91" spans="1:2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</row>
    <row r="92" spans="1:2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</row>
    <row r="93" spans="1:2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1:2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</row>
    <row r="95" spans="1:2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</row>
    <row r="96" spans="1:2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</row>
    <row r="97" spans="1:2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8" spans="1:2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</row>
    <row r="99" spans="1:2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</row>
    <row r="100" spans="1:2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</row>
    <row r="101" spans="1:2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</row>
    <row r="102" spans="1:2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</row>
    <row r="103" spans="1:2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</row>
    <row r="104" spans="1:2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</row>
    <row r="105" spans="1:2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</row>
    <row r="106" spans="1:2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</row>
    <row r="107" spans="1:2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</row>
    <row r="108" spans="1:2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</row>
    <row r="109" spans="1:2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</row>
    <row r="110" spans="1:2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spans="1:2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</row>
    <row r="112" spans="1:2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</row>
    <row r="113" spans="1:2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</row>
    <row r="114" spans="1:2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</row>
    <row r="115" spans="1:2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</row>
    <row r="116" spans="1:2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</row>
    <row r="117" spans="1:2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</row>
    <row r="118" spans="1:2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</row>
    <row r="119" spans="1:2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</row>
    <row r="120" spans="1:2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</row>
    <row r="121" spans="1:2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</row>
    <row r="122" spans="1:2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</row>
    <row r="123" spans="1:2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</row>
    <row r="124" spans="1:2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</row>
    <row r="125" spans="1:2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</row>
    <row r="126" spans="1:2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</row>
    <row r="127" spans="1:2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</row>
    <row r="128" spans="1:2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</row>
    <row r="129" spans="1:2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</row>
    <row r="130" spans="1:2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</row>
    <row r="131" spans="1:2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spans="1:2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</row>
    <row r="133" spans="1:2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</row>
    <row r="134" spans="1:2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</row>
    <row r="135" spans="1:2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</row>
    <row r="136" spans="1:2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</row>
    <row r="137" spans="1:2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</row>
    <row r="138" spans="1:2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</row>
    <row r="139" spans="1:2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</row>
    <row r="140" spans="1:2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</row>
    <row r="141" spans="1:2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</row>
    <row r="142" spans="1:2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</row>
    <row r="143" spans="1:2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</row>
    <row r="144" spans="1:2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</row>
    <row r="145" spans="1:2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</row>
    <row r="146" spans="1:2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</row>
    <row r="147" spans="1:2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</row>
    <row r="148" spans="1:2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</row>
    <row r="149" spans="1:2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</row>
    <row r="150" spans="1:2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</row>
    <row r="151" spans="1:2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</row>
    <row r="152" spans="1:2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</row>
    <row r="153" spans="1:2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</row>
    <row r="154" spans="1:2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</row>
    <row r="155" spans="1:2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</row>
    <row r="156" spans="1:2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</row>
    <row r="157" spans="1:2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</row>
    <row r="158" spans="1:2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</row>
    <row r="159" spans="1:2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</row>
    <row r="160" spans="1:2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</row>
    <row r="161" spans="1:2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</row>
    <row r="162" spans="1:2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</row>
    <row r="163" spans="1:2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</row>
    <row r="164" spans="1:2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</row>
    <row r="165" spans="1:2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</row>
    <row r="166" spans="1:2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</row>
    <row r="167" spans="1:2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</row>
    <row r="168" spans="1:2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</row>
    <row r="169" spans="1:2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</row>
    <row r="170" spans="1:2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</row>
    <row r="171" spans="1:2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spans="1:2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</row>
    <row r="173" spans="1:2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</row>
    <row r="174" spans="1:2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</row>
    <row r="175" spans="1:2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spans="1:2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</row>
    <row r="177" spans="1:2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</row>
    <row r="178" spans="1:2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</row>
    <row r="179" spans="1:2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spans="1:2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spans="1:2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spans="1:2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spans="1:2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spans="1:2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</row>
    <row r="185" spans="1:2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</row>
    <row r="186" spans="1:2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  <row r="187" spans="1:2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</row>
    <row r="188" spans="1:2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</row>
    <row r="189" spans="1:2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</row>
    <row r="190" spans="1:2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</row>
    <row r="191" spans="1:2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</row>
    <row r="192" spans="1:2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</row>
    <row r="193" spans="1:2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</row>
    <row r="194" spans="1:2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</row>
    <row r="195" spans="1:2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</row>
    <row r="196" spans="1:2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</row>
    <row r="197" spans="1:2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</row>
    <row r="198" spans="1:2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</row>
    <row r="199" spans="1:2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</row>
    <row r="200" spans="1:2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</row>
    <row r="201" spans="1:2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</row>
    <row r="202" spans="1:2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</row>
    <row r="203" spans="1:2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</row>
    <row r="204" spans="1:2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spans="1:2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</row>
    <row r="206" spans="1:2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</row>
    <row r="207" spans="1:2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</row>
    <row r="208" spans="1:2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</row>
    <row r="209" spans="1:2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</row>
    <row r="210" spans="1:2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spans="1:2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</row>
    <row r="212" spans="1:2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</row>
    <row r="213" spans="1:2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</row>
    <row r="214" spans="1:2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</row>
    <row r="215" spans="1:2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</row>
    <row r="216" spans="1:2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</row>
    <row r="217" spans="1:2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</row>
    <row r="218" spans="1:2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</row>
    <row r="219" spans="1:2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</row>
    <row r="220" spans="1:2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</row>
    <row r="221" spans="1:2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</row>
    <row r="222" spans="1:2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</row>
    <row r="223" spans="1:2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</row>
    <row r="224" spans="1:2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</row>
    <row r="225" spans="1:2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</row>
    <row r="226" spans="1:2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</row>
    <row r="227" spans="1:2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</row>
    <row r="228" spans="1:2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</row>
    <row r="229" spans="1:2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</row>
    <row r="230" spans="1:2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</row>
    <row r="231" spans="1:2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</row>
    <row r="232" spans="1:2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</row>
    <row r="233" spans="1:2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spans="1:2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</row>
    <row r="235" spans="1:2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</row>
    <row r="236" spans="1:2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</row>
    <row r="237" spans="1:2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</row>
    <row r="238" spans="1:2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</row>
    <row r="239" spans="1:2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</row>
    <row r="240" spans="1:2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</row>
    <row r="241" spans="1:2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</row>
    <row r="242" spans="1:2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</row>
    <row r="243" spans="1:2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</row>
    <row r="244" spans="1:2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</row>
    <row r="245" spans="1:2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</row>
    <row r="246" spans="1:2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</row>
    <row r="247" spans="1:2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</row>
    <row r="248" spans="1:2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</row>
    <row r="249" spans="1:2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</row>
    <row r="250" spans="1:2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</row>
    <row r="251" spans="1:2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</row>
    <row r="252" spans="1:2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</row>
    <row r="253" spans="1:2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</row>
    <row r="254" spans="1:2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</row>
    <row r="255" spans="1:2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</row>
    <row r="256" spans="1:2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</row>
    <row r="257" spans="1:2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</row>
    <row r="258" spans="1:2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</row>
    <row r="259" spans="1:2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</row>
    <row r="260" spans="1:2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</row>
    <row r="261" spans="1:2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</row>
    <row r="262" spans="1:2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</row>
    <row r="263" spans="1:2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</row>
    <row r="264" spans="1:2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</row>
    <row r="265" spans="1:2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</row>
    <row r="266" spans="1:2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</row>
    <row r="267" spans="1:2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</row>
    <row r="268" spans="1:2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</row>
    <row r="269" spans="1:2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</row>
    <row r="270" spans="1:2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</row>
    <row r="271" spans="1:2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</row>
    <row r="272" spans="1:2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</row>
    <row r="273" spans="1:2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</row>
    <row r="274" spans="1:2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</row>
    <row r="275" spans="1:2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</row>
    <row r="276" spans="1:2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</row>
    <row r="277" spans="1:2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</row>
    <row r="278" spans="1:2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</row>
    <row r="279" spans="1:2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</row>
    <row r="280" spans="1:2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</row>
    <row r="281" spans="1:2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</row>
    <row r="282" spans="1:2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</row>
    <row r="283" spans="1:2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</row>
    <row r="284" spans="1:2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</row>
    <row r="285" spans="1:2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</row>
    <row r="286" spans="1:2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</row>
    <row r="287" spans="1:2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</row>
    <row r="288" spans="1:2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</row>
    <row r="289" spans="1:2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</row>
    <row r="290" spans="1:2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</row>
    <row r="291" spans="1:2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</row>
    <row r="292" spans="1:2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</row>
    <row r="293" spans="1:2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</row>
    <row r="294" spans="1:2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</row>
    <row r="295" spans="1:2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</row>
    <row r="296" spans="1:2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</row>
    <row r="297" spans="1:2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</row>
    <row r="298" spans="1:2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</row>
    <row r="299" spans="1:2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</row>
    <row r="300" spans="1:2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spans="1:2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</row>
    <row r="302" spans="1:2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</row>
    <row r="303" spans="1:2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</row>
    <row r="304" spans="1:2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</row>
    <row r="305" spans="1:2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</row>
    <row r="306" spans="1:2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</row>
    <row r="307" spans="1:2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</row>
    <row r="308" spans="1:2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</row>
    <row r="309" spans="1:2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</row>
    <row r="310" spans="1:2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</row>
    <row r="311" spans="1:2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</row>
    <row r="312" spans="1:2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</row>
    <row r="313" spans="1:2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</row>
    <row r="314" spans="1:2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</row>
    <row r="315" spans="1:2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spans="1:2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</row>
    <row r="317" spans="1:2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</row>
    <row r="318" spans="1:2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</row>
    <row r="319" spans="1:2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</row>
    <row r="320" spans="1:2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</row>
    <row r="321" spans="1:2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</row>
    <row r="322" spans="1:2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</row>
    <row r="323" spans="1:2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</row>
    <row r="324" spans="1:2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</row>
    <row r="325" spans="1:2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</row>
    <row r="326" spans="1:2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</row>
    <row r="327" spans="1:2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</row>
    <row r="328" spans="1:2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</row>
    <row r="329" spans="1:2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</row>
    <row r="330" spans="1:2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</row>
    <row r="331" spans="1:2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</row>
    <row r="332" spans="1:2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</row>
    <row r="333" spans="1:2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</row>
    <row r="334" spans="1:2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</row>
    <row r="335" spans="1:2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</row>
    <row r="336" spans="1:2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</row>
    <row r="337" spans="1:2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</row>
    <row r="338" spans="1:2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</row>
    <row r="339" spans="1:2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</row>
    <row r="340" spans="1:2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</row>
    <row r="341" spans="1:2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</row>
    <row r="342" spans="1:2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</row>
    <row r="343" spans="1:2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</row>
    <row r="344" spans="1:2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</row>
    <row r="345" spans="1:2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spans="1:2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</row>
    <row r="347" spans="1:2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</row>
    <row r="348" spans="1:2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</row>
    <row r="349" spans="1:2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</row>
    <row r="350" spans="1:2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</row>
    <row r="351" spans="1:2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</row>
    <row r="352" spans="1:2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</row>
    <row r="353" spans="1:2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</row>
    <row r="354" spans="1:2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</row>
    <row r="355" spans="1:2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</row>
    <row r="356" spans="1:2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</row>
    <row r="357" spans="1:2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</row>
    <row r="358" spans="1:2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</row>
    <row r="359" spans="1:2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</row>
    <row r="360" spans="1:2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</row>
    <row r="361" spans="1:2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</row>
    <row r="362" spans="1:2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</row>
    <row r="363" spans="1:2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</row>
    <row r="364" spans="1:2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</row>
    <row r="365" spans="1:2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</row>
    <row r="366" spans="1:2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</row>
    <row r="367" spans="1:2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</row>
    <row r="368" spans="1:2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</row>
    <row r="369" spans="1:2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</row>
    <row r="370" spans="1:2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</row>
    <row r="371" spans="1:2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</row>
    <row r="372" spans="1:2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</row>
    <row r="373" spans="1:2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</row>
    <row r="374" spans="1:2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</row>
    <row r="375" spans="1:2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</row>
    <row r="376" spans="1:2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</row>
    <row r="377" spans="1:2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</row>
    <row r="378" spans="1:2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</row>
    <row r="379" spans="1:2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</row>
    <row r="380" spans="1:2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</row>
    <row r="381" spans="1:2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</row>
    <row r="382" spans="1:2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</row>
  </sheetData>
  <mergeCells count="10">
    <mergeCell ref="A5:C5"/>
    <mergeCell ref="A7:C7"/>
    <mergeCell ref="A9:C9"/>
    <mergeCell ref="A10:C10"/>
    <mergeCell ref="A17:C17"/>
    <mergeCell ref="A18:C18"/>
    <mergeCell ref="A12:C12"/>
    <mergeCell ref="A13:C13"/>
    <mergeCell ref="A15:C15"/>
    <mergeCell ref="A16:C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zoomScale="70" zoomScaleNormal="80" zoomScaleSheetLayoutView="70" workbookViewId="0">
      <selection activeCell="A15" sqref="A15:T15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9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79" customFormat="1" ht="15.75" x14ac:dyDescent="0.2">
      <c r="A4" s="213" t="str">
        <f>'1. паспорт местоположение'!$A$5</f>
        <v>Год раскрытия информации: 2019 год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8" s="79" customFormat="1" ht="15.75" x14ac:dyDescent="0.2">
      <c r="A5" s="81"/>
    </row>
    <row r="6" spans="1:28" s="79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8" s="79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8" s="79" customFormat="1" ht="18.75" customHeight="1" x14ac:dyDescent="0.2">
      <c r="A8" s="215" t="s">
        <v>264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8" s="79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8" s="79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8" s="79" customFormat="1" ht="18.75" customHeight="1" x14ac:dyDescent="0.2">
      <c r="A11" s="215" t="str">
        <f>'1. паспорт местоположение'!A12:C12</f>
        <v>I_Che223_18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8" s="79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8" s="82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</row>
    <row r="14" spans="1:28" s="83" customFormat="1" ht="15.75" x14ac:dyDescent="0.2">
      <c r="A14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8" s="83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8" s="148" customFormat="1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147"/>
      <c r="AB16" s="147"/>
    </row>
    <row r="17" spans="1:28" s="148" customFormat="1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147"/>
      <c r="AB17" s="147"/>
    </row>
    <row r="18" spans="1:28" s="148" customFormat="1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147"/>
      <c r="AB18" s="147"/>
    </row>
    <row r="19" spans="1:28" x14ac:dyDescent="0.25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149"/>
      <c r="AB19" s="149"/>
    </row>
    <row r="20" spans="1:2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147"/>
      <c r="AB20" s="147"/>
    </row>
    <row r="21" spans="1:28" x14ac:dyDescent="0.25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147"/>
      <c r="AB21" s="147"/>
    </row>
    <row r="22" spans="1:28" x14ac:dyDescent="0.25">
      <c r="A22" s="256" t="s">
        <v>330</v>
      </c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150"/>
      <c r="AB22" s="150"/>
    </row>
    <row r="23" spans="1:28" ht="32.25" customHeight="1" x14ac:dyDescent="0.25">
      <c r="A23" s="251" t="s">
        <v>331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3"/>
      <c r="M23" s="254" t="s">
        <v>332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</row>
    <row r="24" spans="1:28" ht="151.5" customHeight="1" x14ac:dyDescent="0.25">
      <c r="A24" s="151" t="s">
        <v>333</v>
      </c>
      <c r="B24" s="152" t="s">
        <v>334</v>
      </c>
      <c r="C24" s="151" t="s">
        <v>335</v>
      </c>
      <c r="D24" s="151" t="s">
        <v>336</v>
      </c>
      <c r="E24" s="151" t="s">
        <v>337</v>
      </c>
      <c r="F24" s="151" t="s">
        <v>359</v>
      </c>
      <c r="G24" s="151" t="s">
        <v>360</v>
      </c>
      <c r="H24" s="151" t="s">
        <v>338</v>
      </c>
      <c r="I24" s="151" t="s">
        <v>361</v>
      </c>
      <c r="J24" s="151" t="s">
        <v>339</v>
      </c>
      <c r="K24" s="152" t="s">
        <v>340</v>
      </c>
      <c r="L24" s="152" t="s">
        <v>341</v>
      </c>
      <c r="M24" s="153" t="s">
        <v>342</v>
      </c>
      <c r="N24" s="152" t="s">
        <v>362</v>
      </c>
      <c r="O24" s="151" t="s">
        <v>363</v>
      </c>
      <c r="P24" s="151" t="s">
        <v>364</v>
      </c>
      <c r="Q24" s="151" t="s">
        <v>365</v>
      </c>
      <c r="R24" s="151" t="s">
        <v>338</v>
      </c>
      <c r="S24" s="151" t="s">
        <v>366</v>
      </c>
      <c r="T24" s="151" t="s">
        <v>367</v>
      </c>
      <c r="U24" s="151" t="s">
        <v>368</v>
      </c>
      <c r="V24" s="151" t="s">
        <v>365</v>
      </c>
      <c r="W24" s="154" t="s">
        <v>369</v>
      </c>
      <c r="X24" s="154" t="s">
        <v>370</v>
      </c>
      <c r="Y24" s="154" t="s">
        <v>371</v>
      </c>
      <c r="Z24" s="155" t="s">
        <v>343</v>
      </c>
    </row>
    <row r="25" spans="1:28" ht="16.5" customHeight="1" x14ac:dyDescent="0.25">
      <c r="A25" s="151">
        <v>1</v>
      </c>
      <c r="B25" s="152">
        <v>2</v>
      </c>
      <c r="C25" s="151">
        <v>3</v>
      </c>
      <c r="D25" s="152">
        <v>4</v>
      </c>
      <c r="E25" s="151">
        <v>5</v>
      </c>
      <c r="F25" s="152">
        <v>6</v>
      </c>
      <c r="G25" s="151">
        <v>7</v>
      </c>
      <c r="H25" s="152">
        <v>8</v>
      </c>
      <c r="I25" s="151">
        <v>9</v>
      </c>
      <c r="J25" s="152">
        <v>10</v>
      </c>
      <c r="K25" s="151">
        <v>11</v>
      </c>
      <c r="L25" s="152">
        <v>12</v>
      </c>
      <c r="M25" s="151">
        <v>13</v>
      </c>
      <c r="N25" s="152">
        <v>14</v>
      </c>
      <c r="O25" s="151">
        <v>15</v>
      </c>
      <c r="P25" s="152">
        <v>16</v>
      </c>
      <c r="Q25" s="151">
        <v>17</v>
      </c>
      <c r="R25" s="152">
        <v>18</v>
      </c>
      <c r="S25" s="151">
        <v>19</v>
      </c>
      <c r="T25" s="152">
        <v>20</v>
      </c>
      <c r="U25" s="151">
        <v>21</v>
      </c>
      <c r="V25" s="152">
        <v>22</v>
      </c>
      <c r="W25" s="151">
        <v>23</v>
      </c>
      <c r="X25" s="152">
        <v>24</v>
      </c>
      <c r="Y25" s="151">
        <v>25</v>
      </c>
      <c r="Z25" s="152">
        <v>26</v>
      </c>
    </row>
    <row r="26" spans="1:28" ht="45.75" customHeight="1" x14ac:dyDescent="0.25">
      <c r="A26" s="156" t="s">
        <v>344</v>
      </c>
      <c r="B26" s="157"/>
      <c r="C26" s="158" t="s">
        <v>372</v>
      </c>
      <c r="D26" s="158" t="s">
        <v>373</v>
      </c>
      <c r="E26" s="158" t="s">
        <v>374</v>
      </c>
      <c r="F26" s="158" t="s">
        <v>375</v>
      </c>
      <c r="G26" s="158" t="s">
        <v>376</v>
      </c>
      <c r="H26" s="158" t="s">
        <v>338</v>
      </c>
      <c r="I26" s="158" t="s">
        <v>377</v>
      </c>
      <c r="J26" s="158" t="s">
        <v>378</v>
      </c>
      <c r="K26" s="159"/>
      <c r="L26" s="160" t="s">
        <v>345</v>
      </c>
      <c r="M26" s="161" t="s">
        <v>346</v>
      </c>
      <c r="N26" s="159" t="s">
        <v>289</v>
      </c>
      <c r="O26" s="159" t="s">
        <v>289</v>
      </c>
      <c r="P26" s="159" t="s">
        <v>289</v>
      </c>
      <c r="Q26" s="159" t="s">
        <v>289</v>
      </c>
      <c r="R26" s="159" t="s">
        <v>289</v>
      </c>
      <c r="S26" s="159" t="s">
        <v>289</v>
      </c>
      <c r="T26" s="159" t="s">
        <v>289</v>
      </c>
      <c r="U26" s="159" t="s">
        <v>289</v>
      </c>
      <c r="V26" s="159" t="s">
        <v>289</v>
      </c>
      <c r="W26" s="159" t="s">
        <v>289</v>
      </c>
      <c r="X26" s="159" t="s">
        <v>289</v>
      </c>
      <c r="Y26" s="159" t="s">
        <v>289</v>
      </c>
      <c r="Z26" s="162" t="s">
        <v>347</v>
      </c>
    </row>
    <row r="27" spans="1:28" x14ac:dyDescent="0.25">
      <c r="A27" s="159" t="s">
        <v>348</v>
      </c>
      <c r="B27" s="159" t="s">
        <v>349</v>
      </c>
      <c r="C27" s="159" t="s">
        <v>289</v>
      </c>
      <c r="D27" s="159" t="s">
        <v>289</v>
      </c>
      <c r="E27" s="159" t="s">
        <v>289</v>
      </c>
      <c r="F27" s="159" t="s">
        <v>289</v>
      </c>
      <c r="G27" s="159" t="s">
        <v>289</v>
      </c>
      <c r="H27" s="159" t="s">
        <v>289</v>
      </c>
      <c r="I27" s="159" t="s">
        <v>289</v>
      </c>
      <c r="J27" s="159" t="s">
        <v>289</v>
      </c>
      <c r="K27" s="160" t="s">
        <v>350</v>
      </c>
      <c r="L27" s="159" t="s">
        <v>289</v>
      </c>
      <c r="M27" s="160" t="s">
        <v>351</v>
      </c>
      <c r="N27" s="159" t="s">
        <v>289</v>
      </c>
      <c r="O27" s="159" t="s">
        <v>289</v>
      </c>
      <c r="P27" s="159" t="s">
        <v>289</v>
      </c>
      <c r="Q27" s="159" t="s">
        <v>289</v>
      </c>
      <c r="R27" s="159" t="s">
        <v>289</v>
      </c>
      <c r="S27" s="159" t="s">
        <v>289</v>
      </c>
      <c r="T27" s="159" t="s">
        <v>289</v>
      </c>
      <c r="U27" s="159" t="s">
        <v>289</v>
      </c>
      <c r="V27" s="159" t="s">
        <v>289</v>
      </c>
      <c r="W27" s="159" t="s">
        <v>289</v>
      </c>
      <c r="X27" s="159" t="s">
        <v>289</v>
      </c>
      <c r="Y27" s="159" t="s">
        <v>289</v>
      </c>
      <c r="Z27" s="159" t="s">
        <v>289</v>
      </c>
    </row>
    <row r="28" spans="1:28" x14ac:dyDescent="0.25">
      <c r="A28" s="159" t="s">
        <v>348</v>
      </c>
      <c r="B28" s="159" t="s">
        <v>352</v>
      </c>
      <c r="C28" s="159" t="s">
        <v>289</v>
      </c>
      <c r="D28" s="159" t="s">
        <v>289</v>
      </c>
      <c r="E28" s="159" t="s">
        <v>289</v>
      </c>
      <c r="F28" s="159" t="s">
        <v>289</v>
      </c>
      <c r="G28" s="159" t="s">
        <v>289</v>
      </c>
      <c r="H28" s="159" t="s">
        <v>289</v>
      </c>
      <c r="I28" s="159" t="s">
        <v>289</v>
      </c>
      <c r="J28" s="159" t="s">
        <v>289</v>
      </c>
      <c r="K28" s="160" t="s">
        <v>353</v>
      </c>
      <c r="L28" s="159" t="s">
        <v>289</v>
      </c>
      <c r="M28" s="160" t="s">
        <v>354</v>
      </c>
      <c r="N28" s="159" t="s">
        <v>289</v>
      </c>
      <c r="O28" s="159" t="s">
        <v>289</v>
      </c>
      <c r="P28" s="159" t="s">
        <v>289</v>
      </c>
      <c r="Q28" s="159" t="s">
        <v>289</v>
      </c>
      <c r="R28" s="159" t="s">
        <v>289</v>
      </c>
      <c r="S28" s="159" t="s">
        <v>289</v>
      </c>
      <c r="T28" s="159" t="s">
        <v>289</v>
      </c>
      <c r="U28" s="159" t="s">
        <v>289</v>
      </c>
      <c r="V28" s="159" t="s">
        <v>289</v>
      </c>
      <c r="W28" s="159" t="s">
        <v>289</v>
      </c>
      <c r="X28" s="159" t="s">
        <v>289</v>
      </c>
      <c r="Y28" s="159" t="s">
        <v>289</v>
      </c>
      <c r="Z28" s="159" t="s">
        <v>289</v>
      </c>
    </row>
    <row r="29" spans="1:28" x14ac:dyDescent="0.25">
      <c r="A29" s="159" t="s">
        <v>348</v>
      </c>
      <c r="B29" s="159" t="s">
        <v>355</v>
      </c>
      <c r="C29" s="159" t="s">
        <v>289</v>
      </c>
      <c r="D29" s="159" t="s">
        <v>289</v>
      </c>
      <c r="E29" s="159" t="s">
        <v>289</v>
      </c>
      <c r="F29" s="159" t="s">
        <v>289</v>
      </c>
      <c r="G29" s="159" t="s">
        <v>289</v>
      </c>
      <c r="H29" s="159" t="s">
        <v>289</v>
      </c>
      <c r="I29" s="159" t="s">
        <v>289</v>
      </c>
      <c r="J29" s="159" t="s">
        <v>289</v>
      </c>
      <c r="K29" s="160" t="s">
        <v>356</v>
      </c>
      <c r="L29" s="159" t="s">
        <v>289</v>
      </c>
      <c r="M29" s="159" t="s">
        <v>289</v>
      </c>
      <c r="N29" s="159" t="s">
        <v>289</v>
      </c>
      <c r="O29" s="159" t="s">
        <v>289</v>
      </c>
      <c r="P29" s="159" t="s">
        <v>289</v>
      </c>
      <c r="Q29" s="159" t="s">
        <v>289</v>
      </c>
      <c r="R29" s="159" t="s">
        <v>289</v>
      </c>
      <c r="S29" s="159" t="s">
        <v>289</v>
      </c>
      <c r="T29" s="159" t="s">
        <v>289</v>
      </c>
      <c r="U29" s="159" t="s">
        <v>289</v>
      </c>
      <c r="V29" s="159" t="s">
        <v>289</v>
      </c>
      <c r="W29" s="159" t="s">
        <v>289</v>
      </c>
      <c r="X29" s="159" t="s">
        <v>289</v>
      </c>
      <c r="Y29" s="159" t="s">
        <v>289</v>
      </c>
      <c r="Z29" s="159" t="s">
        <v>289</v>
      </c>
    </row>
    <row r="30" spans="1:28" x14ac:dyDescent="0.25">
      <c r="A30" s="159" t="s">
        <v>348</v>
      </c>
      <c r="B30" s="159" t="s">
        <v>357</v>
      </c>
      <c r="C30" s="159" t="s">
        <v>289</v>
      </c>
      <c r="D30" s="159" t="s">
        <v>289</v>
      </c>
      <c r="E30" s="159" t="s">
        <v>289</v>
      </c>
      <c r="F30" s="159" t="s">
        <v>289</v>
      </c>
      <c r="G30" s="159" t="s">
        <v>289</v>
      </c>
      <c r="H30" s="159" t="s">
        <v>289</v>
      </c>
      <c r="I30" s="159" t="s">
        <v>289</v>
      </c>
      <c r="J30" s="159" t="s">
        <v>289</v>
      </c>
      <c r="K30" s="160" t="s">
        <v>358</v>
      </c>
      <c r="L30" s="159" t="s">
        <v>289</v>
      </c>
      <c r="M30" s="159" t="s">
        <v>289</v>
      </c>
      <c r="N30" s="159" t="s">
        <v>289</v>
      </c>
      <c r="O30" s="159" t="s">
        <v>289</v>
      </c>
      <c r="P30" s="159" t="s">
        <v>289</v>
      </c>
      <c r="Q30" s="159" t="s">
        <v>289</v>
      </c>
      <c r="R30" s="159" t="s">
        <v>289</v>
      </c>
      <c r="S30" s="159" t="s">
        <v>289</v>
      </c>
      <c r="T30" s="159" t="s">
        <v>289</v>
      </c>
      <c r="U30" s="159" t="s">
        <v>289</v>
      </c>
      <c r="V30" s="159" t="s">
        <v>289</v>
      </c>
      <c r="W30" s="159" t="s">
        <v>289</v>
      </c>
      <c r="X30" s="159" t="s">
        <v>289</v>
      </c>
      <c r="Y30" s="159" t="s">
        <v>289</v>
      </c>
      <c r="Z30" s="159" t="s">
        <v>289</v>
      </c>
    </row>
    <row r="31" spans="1:28" x14ac:dyDescent="0.25">
      <c r="A31" s="159" t="s">
        <v>354</v>
      </c>
      <c r="B31" s="159" t="s">
        <v>354</v>
      </c>
      <c r="C31" s="159" t="s">
        <v>354</v>
      </c>
      <c r="D31" s="159" t="s">
        <v>354</v>
      </c>
      <c r="E31" s="159" t="s">
        <v>354</v>
      </c>
      <c r="F31" s="159" t="s">
        <v>354</v>
      </c>
      <c r="G31" s="159" t="s">
        <v>354</v>
      </c>
      <c r="H31" s="159" t="s">
        <v>354</v>
      </c>
      <c r="I31" s="159" t="s">
        <v>354</v>
      </c>
      <c r="J31" s="159" t="s">
        <v>354</v>
      </c>
      <c r="K31" s="159" t="s">
        <v>354</v>
      </c>
      <c r="L31" s="159" t="s">
        <v>289</v>
      </c>
      <c r="M31" s="159" t="s">
        <v>289</v>
      </c>
      <c r="N31" s="159" t="s">
        <v>289</v>
      </c>
      <c r="O31" s="159" t="s">
        <v>289</v>
      </c>
      <c r="P31" s="159" t="s">
        <v>289</v>
      </c>
      <c r="Q31" s="159" t="s">
        <v>289</v>
      </c>
      <c r="R31" s="159" t="s">
        <v>289</v>
      </c>
      <c r="S31" s="159" t="s">
        <v>289</v>
      </c>
      <c r="T31" s="159" t="s">
        <v>289</v>
      </c>
      <c r="U31" s="159" t="s">
        <v>289</v>
      </c>
      <c r="V31" s="159" t="s">
        <v>289</v>
      </c>
      <c r="W31" s="159" t="s">
        <v>289</v>
      </c>
      <c r="X31" s="159" t="s">
        <v>289</v>
      </c>
      <c r="Y31" s="159" t="s">
        <v>289</v>
      </c>
      <c r="Z31" s="159" t="s">
        <v>289</v>
      </c>
    </row>
    <row r="32" spans="1:28" ht="30" x14ac:dyDescent="0.25">
      <c r="A32" s="157" t="s">
        <v>344</v>
      </c>
      <c r="B32" s="157"/>
      <c r="C32" s="158" t="s">
        <v>379</v>
      </c>
      <c r="D32" s="158" t="s">
        <v>380</v>
      </c>
      <c r="E32" s="158" t="s">
        <v>381</v>
      </c>
      <c r="F32" s="158" t="s">
        <v>382</v>
      </c>
      <c r="G32" s="158" t="s">
        <v>383</v>
      </c>
      <c r="H32" s="158" t="s">
        <v>338</v>
      </c>
      <c r="I32" s="158" t="s">
        <v>384</v>
      </c>
      <c r="J32" s="158" t="s">
        <v>385</v>
      </c>
      <c r="K32" s="159"/>
      <c r="L32" s="159" t="s">
        <v>289</v>
      </c>
      <c r="M32" s="159" t="s">
        <v>289</v>
      </c>
      <c r="N32" s="159" t="s">
        <v>289</v>
      </c>
      <c r="O32" s="159" t="s">
        <v>289</v>
      </c>
      <c r="P32" s="159" t="s">
        <v>289</v>
      </c>
      <c r="Q32" s="159" t="s">
        <v>289</v>
      </c>
      <c r="R32" s="159" t="s">
        <v>289</v>
      </c>
      <c r="S32" s="159" t="s">
        <v>289</v>
      </c>
      <c r="T32" s="159" t="s">
        <v>289</v>
      </c>
      <c r="U32" s="159" t="s">
        <v>289</v>
      </c>
      <c r="V32" s="159" t="s">
        <v>289</v>
      </c>
      <c r="W32" s="159" t="s">
        <v>289</v>
      </c>
      <c r="X32" s="159" t="s">
        <v>289</v>
      </c>
      <c r="Y32" s="159" t="s">
        <v>289</v>
      </c>
      <c r="Z32" s="159" t="s">
        <v>289</v>
      </c>
    </row>
    <row r="33" spans="1:26" x14ac:dyDescent="0.25">
      <c r="A33" s="159" t="s">
        <v>354</v>
      </c>
      <c r="B33" s="159" t="s">
        <v>354</v>
      </c>
      <c r="C33" s="159" t="s">
        <v>354</v>
      </c>
      <c r="D33" s="159" t="s">
        <v>354</v>
      </c>
      <c r="E33" s="159" t="s">
        <v>354</v>
      </c>
      <c r="F33" s="159" t="s">
        <v>354</v>
      </c>
      <c r="G33" s="159" t="s">
        <v>354</v>
      </c>
      <c r="H33" s="159" t="s">
        <v>354</v>
      </c>
      <c r="I33" s="159" t="s">
        <v>354</v>
      </c>
      <c r="J33" s="159" t="s">
        <v>354</v>
      </c>
      <c r="K33" s="159" t="s">
        <v>354</v>
      </c>
      <c r="L33" s="159" t="s">
        <v>289</v>
      </c>
      <c r="M33" s="159" t="s">
        <v>289</v>
      </c>
      <c r="N33" s="159" t="s">
        <v>289</v>
      </c>
      <c r="O33" s="159" t="s">
        <v>289</v>
      </c>
      <c r="P33" s="159" t="s">
        <v>289</v>
      </c>
      <c r="Q33" s="159" t="s">
        <v>289</v>
      </c>
      <c r="R33" s="159" t="s">
        <v>289</v>
      </c>
      <c r="S33" s="159" t="s">
        <v>289</v>
      </c>
      <c r="T33" s="159" t="s">
        <v>289</v>
      </c>
      <c r="U33" s="159" t="s">
        <v>289</v>
      </c>
      <c r="V33" s="159" t="s">
        <v>289</v>
      </c>
      <c r="W33" s="159" t="s">
        <v>289</v>
      </c>
      <c r="X33" s="159" t="s">
        <v>289</v>
      </c>
      <c r="Y33" s="159" t="s">
        <v>289</v>
      </c>
      <c r="Z33" s="159" t="s">
        <v>289</v>
      </c>
    </row>
    <row r="37" spans="1:26" x14ac:dyDescent="0.25">
      <c r="A37" s="163"/>
    </row>
  </sheetData>
  <mergeCells count="20"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9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7" sqref="A17:T17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9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79" customFormat="1" ht="15.75" x14ac:dyDescent="0.2">
      <c r="A6" s="213" t="str">
        <f>'1. паспорт местоположение'!$A$5</f>
        <v>Год раскрытия информации: 2019 год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0" s="79" customFormat="1" ht="15.75" x14ac:dyDescent="0.2">
      <c r="A7" s="81"/>
    </row>
    <row r="8" spans="1:20" s="79" customFormat="1" ht="18.75" x14ac:dyDescent="0.2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79" customFormat="1" ht="18.75" x14ac:dyDescent="0.2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s="79" customFormat="1" ht="18.75" customHeight="1" x14ac:dyDescent="0.2">
      <c r="A10" s="215" t="s">
        <v>264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s="79" customFormat="1" ht="18.75" customHeight="1" x14ac:dyDescent="0.2">
      <c r="A11" s="216" t="s">
        <v>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s="79" customFormat="1" ht="18.75" x14ac:dyDescent="0.2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s="79" customFormat="1" ht="18.75" customHeight="1" x14ac:dyDescent="0.2">
      <c r="A13" s="215" t="str">
        <f>'1. паспорт местоположение'!A12:C12</f>
        <v>I_Che223_18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s="79" customFormat="1" ht="18.75" customHeight="1" x14ac:dyDescent="0.2">
      <c r="A14" s="216" t="s">
        <v>3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s="82" customFormat="1" ht="15.75" customHeight="1" x14ac:dyDescent="0.2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0" s="83" customFormat="1" ht="15.75" x14ac:dyDescent="0.2">
      <c r="A16" s="21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s="83" customFormat="1" ht="15" customHeight="1" x14ac:dyDescent="0.2">
      <c r="A17" s="216" t="s">
        <v>2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20" ht="96" customHeight="1" x14ac:dyDescent="0.25">
      <c r="A18" s="260" t="s">
        <v>386</v>
      </c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</row>
    <row r="19" spans="1:20" ht="15.75" customHeight="1" x14ac:dyDescent="0.25">
      <c r="A19" s="217" t="s">
        <v>1</v>
      </c>
      <c r="B19" s="217" t="s">
        <v>387</v>
      </c>
      <c r="C19" s="217" t="s">
        <v>388</v>
      </c>
      <c r="D19" s="217" t="s">
        <v>389</v>
      </c>
      <c r="E19" s="257" t="s">
        <v>390</v>
      </c>
      <c r="F19" s="258"/>
      <c r="G19" s="258"/>
      <c r="H19" s="258"/>
      <c r="I19" s="259"/>
      <c r="J19" s="257" t="s">
        <v>391</v>
      </c>
      <c r="K19" s="258"/>
      <c r="L19" s="258"/>
      <c r="M19" s="258"/>
      <c r="N19" s="258"/>
      <c r="O19" s="259"/>
    </row>
    <row r="20" spans="1:20" ht="123" customHeight="1" x14ac:dyDescent="0.25">
      <c r="A20" s="217"/>
      <c r="B20" s="217"/>
      <c r="C20" s="217"/>
      <c r="D20" s="217"/>
      <c r="E20" s="136" t="s">
        <v>392</v>
      </c>
      <c r="F20" s="136" t="s">
        <v>393</v>
      </c>
      <c r="G20" s="136" t="s">
        <v>394</v>
      </c>
      <c r="H20" s="136" t="s">
        <v>395</v>
      </c>
      <c r="I20" s="136" t="s">
        <v>396</v>
      </c>
      <c r="J20" s="136" t="s">
        <v>397</v>
      </c>
      <c r="K20" s="136" t="s">
        <v>398</v>
      </c>
      <c r="L20" s="164" t="s">
        <v>399</v>
      </c>
      <c r="M20" s="165" t="s">
        <v>400</v>
      </c>
      <c r="N20" s="165" t="s">
        <v>401</v>
      </c>
      <c r="O20" s="165" t="s">
        <v>402</v>
      </c>
    </row>
    <row r="21" spans="1:20" ht="15.75" x14ac:dyDescent="0.25">
      <c r="A21" s="27">
        <v>1</v>
      </c>
      <c r="B21" s="28">
        <v>2</v>
      </c>
      <c r="C21" s="27">
        <v>3</v>
      </c>
      <c r="D21" s="28">
        <v>4</v>
      </c>
      <c r="E21" s="27">
        <v>5</v>
      </c>
      <c r="F21" s="28">
        <v>6</v>
      </c>
      <c r="G21" s="27">
        <v>7</v>
      </c>
      <c r="H21" s="28">
        <v>8</v>
      </c>
      <c r="I21" s="27">
        <v>9</v>
      </c>
      <c r="J21" s="28">
        <v>10</v>
      </c>
      <c r="K21" s="27">
        <v>11</v>
      </c>
      <c r="L21" s="28">
        <v>12</v>
      </c>
      <c r="M21" s="27">
        <v>13</v>
      </c>
      <c r="N21" s="28">
        <v>14</v>
      </c>
      <c r="O21" s="27">
        <v>15</v>
      </c>
    </row>
    <row r="22" spans="1:20" ht="15.75" x14ac:dyDescent="0.25">
      <c r="A22" s="166" t="s">
        <v>289</v>
      </c>
      <c r="B22" s="166" t="s">
        <v>289</v>
      </c>
      <c r="C22" s="166" t="s">
        <v>289</v>
      </c>
      <c r="D22" s="166" t="s">
        <v>289</v>
      </c>
      <c r="E22" s="166" t="s">
        <v>289</v>
      </c>
      <c r="F22" s="166" t="s">
        <v>289</v>
      </c>
      <c r="G22" s="166" t="s">
        <v>289</v>
      </c>
      <c r="H22" s="166" t="s">
        <v>289</v>
      </c>
      <c r="I22" s="166" t="s">
        <v>289</v>
      </c>
      <c r="J22" s="166" t="s">
        <v>289</v>
      </c>
      <c r="K22" s="166" t="s">
        <v>289</v>
      </c>
      <c r="L22" s="166" t="s">
        <v>289</v>
      </c>
      <c r="M22" s="166" t="s">
        <v>289</v>
      </c>
      <c r="N22" s="166" t="s">
        <v>289</v>
      </c>
      <c r="O22" s="166" t="s">
        <v>289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1:T11"/>
    <mergeCell ref="A6:T6"/>
    <mergeCell ref="A8:T8"/>
    <mergeCell ref="A9:T9"/>
    <mergeCell ref="A10:T10"/>
    <mergeCell ref="E19:I19"/>
    <mergeCell ref="J19:O19"/>
    <mergeCell ref="A19:A20"/>
    <mergeCell ref="B19:B20"/>
    <mergeCell ref="A12:T12"/>
    <mergeCell ref="C19:C20"/>
    <mergeCell ref="D19:D20"/>
    <mergeCell ref="A13:T13"/>
    <mergeCell ref="A14:T14"/>
    <mergeCell ref="A15:T15"/>
    <mergeCell ref="A16:T16"/>
    <mergeCell ref="A17:T17"/>
    <mergeCell ref="A18:O18"/>
  </mergeCells>
  <phoneticPr fontId="49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60" zoomScaleNormal="100" workbookViewId="0">
      <selection activeCell="A16" sqref="A16:F16"/>
    </sheetView>
  </sheetViews>
  <sheetFormatPr defaultRowHeight="15" x14ac:dyDescent="0.25"/>
  <cols>
    <col min="1" max="1" width="9.140625" style="68"/>
    <col min="2" max="2" width="29.42578125" style="68" customWidth="1"/>
    <col min="3" max="3" width="25.140625" style="68" customWidth="1"/>
    <col min="4" max="4" width="20.7109375" style="68" customWidth="1"/>
    <col min="5" max="5" width="23.28515625" style="68" customWidth="1"/>
    <col min="6" max="16384" width="9.140625" style="68"/>
  </cols>
  <sheetData>
    <row r="1" spans="1:6" s="97" customFormat="1" ht="18.75" x14ac:dyDescent="0.25">
      <c r="A1" s="94"/>
      <c r="B1" s="95"/>
      <c r="C1" s="95"/>
      <c r="D1" s="95"/>
      <c r="E1" s="95"/>
      <c r="F1" s="96" t="s">
        <v>22</v>
      </c>
    </row>
    <row r="2" spans="1:6" s="97" customFormat="1" ht="18.75" x14ac:dyDescent="0.3">
      <c r="A2" s="94"/>
      <c r="B2" s="95"/>
      <c r="C2" s="95"/>
      <c r="D2" s="95"/>
      <c r="E2" s="95"/>
      <c r="F2" s="98" t="s">
        <v>6</v>
      </c>
    </row>
    <row r="3" spans="1:6" s="97" customFormat="1" ht="18.75" x14ac:dyDescent="0.3">
      <c r="A3" s="99"/>
      <c r="B3" s="95"/>
      <c r="C3" s="95"/>
      <c r="D3" s="95"/>
      <c r="E3" s="95"/>
      <c r="F3" s="98" t="s">
        <v>21</v>
      </c>
    </row>
    <row r="4" spans="1:6" s="97" customFormat="1" ht="15.75" x14ac:dyDescent="0.25">
      <c r="A4" s="99"/>
      <c r="B4" s="95"/>
      <c r="C4" s="95"/>
      <c r="D4" s="95"/>
      <c r="E4" s="95"/>
      <c r="F4" s="95"/>
    </row>
    <row r="5" spans="1:6" s="97" customFormat="1" ht="18.75" x14ac:dyDescent="0.25">
      <c r="A5" s="262" t="str">
        <f>'1. паспорт местоположение'!$A$5</f>
        <v>Год раскрытия информации: 2019 год</v>
      </c>
      <c r="B5" s="262"/>
      <c r="C5" s="262"/>
      <c r="D5" s="262"/>
      <c r="E5" s="262"/>
      <c r="F5" s="262"/>
    </row>
    <row r="6" spans="1:6" s="97" customFormat="1" ht="15.75" x14ac:dyDescent="0.25">
      <c r="A6" s="100"/>
      <c r="B6" s="101"/>
      <c r="C6" s="101"/>
      <c r="D6" s="101"/>
      <c r="E6" s="101"/>
      <c r="F6" s="101"/>
    </row>
    <row r="7" spans="1:6" s="97" customFormat="1" ht="18.75" x14ac:dyDescent="0.25">
      <c r="A7" s="263" t="s">
        <v>5</v>
      </c>
      <c r="B7" s="263"/>
      <c r="C7" s="263"/>
      <c r="D7" s="263"/>
      <c r="E7" s="263"/>
      <c r="F7" s="263"/>
    </row>
    <row r="8" spans="1:6" s="97" customFormat="1" ht="18.75" x14ac:dyDescent="0.25">
      <c r="A8" s="102"/>
      <c r="B8" s="102"/>
      <c r="C8" s="102"/>
      <c r="D8" s="102"/>
      <c r="E8" s="102"/>
      <c r="F8" s="102"/>
    </row>
    <row r="9" spans="1:6" s="97" customFormat="1" ht="18.75" x14ac:dyDescent="0.25">
      <c r="A9" s="264" t="s">
        <v>265</v>
      </c>
      <c r="B9" s="264"/>
      <c r="C9" s="264"/>
      <c r="D9" s="264"/>
      <c r="E9" s="264"/>
      <c r="F9" s="264"/>
    </row>
    <row r="10" spans="1:6" s="97" customFormat="1" ht="15.75" x14ac:dyDescent="0.25">
      <c r="A10" s="261" t="s">
        <v>4</v>
      </c>
      <c r="B10" s="261"/>
      <c r="C10" s="261"/>
      <c r="D10" s="261"/>
      <c r="E10" s="261"/>
      <c r="F10" s="261"/>
    </row>
    <row r="11" spans="1:6" s="97" customFormat="1" ht="18.75" x14ac:dyDescent="0.25">
      <c r="A11" s="102"/>
      <c r="B11" s="102"/>
      <c r="C11" s="102"/>
      <c r="D11" s="102"/>
      <c r="E11" s="102"/>
      <c r="F11" s="102"/>
    </row>
    <row r="12" spans="1:6" s="97" customFormat="1" ht="18.75" x14ac:dyDescent="0.25">
      <c r="A12" s="264" t="str">
        <f>'1. паспорт местоположение'!A12:C12</f>
        <v>I_Che223_18</v>
      </c>
      <c r="B12" s="264"/>
      <c r="C12" s="264"/>
      <c r="D12" s="264"/>
      <c r="E12" s="264"/>
      <c r="F12" s="264"/>
    </row>
    <row r="13" spans="1:6" s="97" customFormat="1" ht="15.75" x14ac:dyDescent="0.25">
      <c r="A13" s="261" t="s">
        <v>3</v>
      </c>
      <c r="B13" s="261"/>
      <c r="C13" s="261"/>
      <c r="D13" s="261"/>
      <c r="E13" s="261"/>
      <c r="F13" s="261"/>
    </row>
    <row r="14" spans="1:6" s="97" customFormat="1" ht="18.75" x14ac:dyDescent="0.25">
      <c r="A14" s="103"/>
      <c r="B14" s="103"/>
      <c r="C14" s="103"/>
      <c r="D14" s="103"/>
      <c r="E14" s="103"/>
      <c r="F14" s="103"/>
    </row>
    <row r="15" spans="1:6" s="97" customFormat="1" ht="18.75" x14ac:dyDescent="0.25">
      <c r="A15" s="265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64"/>
      <c r="C15" s="264"/>
      <c r="D15" s="264"/>
      <c r="E15" s="264"/>
      <c r="F15" s="264"/>
    </row>
    <row r="16" spans="1:6" s="97" customFormat="1" ht="15.75" x14ac:dyDescent="0.25">
      <c r="A16" s="261" t="s">
        <v>2</v>
      </c>
      <c r="B16" s="261"/>
      <c r="C16" s="261"/>
      <c r="D16" s="261"/>
      <c r="E16" s="261"/>
      <c r="F16" s="261"/>
    </row>
    <row r="17" spans="1:6" s="97" customFormat="1" ht="18.75" x14ac:dyDescent="0.25">
      <c r="A17" s="104"/>
      <c r="B17" s="104"/>
      <c r="C17" s="104"/>
      <c r="D17" s="104"/>
      <c r="E17" s="104"/>
      <c r="F17" s="104"/>
    </row>
    <row r="18" spans="1:6" s="97" customFormat="1" ht="18.75" x14ac:dyDescent="0.25">
      <c r="A18" s="264" t="s">
        <v>249</v>
      </c>
      <c r="B18" s="264"/>
      <c r="C18" s="264"/>
      <c r="D18" s="264"/>
      <c r="E18" s="264"/>
      <c r="F18" s="264"/>
    </row>
    <row r="19" spans="1:6" s="97" customFormat="1" x14ac:dyDescent="0.25">
      <c r="A19" s="105"/>
      <c r="B19" s="105"/>
      <c r="C19" s="105"/>
      <c r="D19" s="105"/>
      <c r="E19" s="105"/>
      <c r="F19" s="105"/>
    </row>
    <row r="20" spans="1:6" s="97" customFormat="1" ht="15.75" thickBot="1" x14ac:dyDescent="0.3">
      <c r="A20" s="105"/>
      <c r="B20" s="105"/>
      <c r="C20" s="105"/>
      <c r="D20" s="105"/>
      <c r="E20" s="105"/>
      <c r="F20" s="105"/>
    </row>
    <row r="21" spans="1:6" s="97" customFormat="1" ht="15.75" x14ac:dyDescent="0.25">
      <c r="A21" s="105"/>
      <c r="B21" s="266" t="s">
        <v>272</v>
      </c>
      <c r="C21" s="267"/>
      <c r="D21" s="267"/>
      <c r="E21" s="268"/>
      <c r="F21" s="105"/>
    </row>
    <row r="22" spans="1:6" s="97" customFormat="1" ht="15.75" x14ac:dyDescent="0.25">
      <c r="A22" s="105"/>
      <c r="B22" s="269" t="s">
        <v>273</v>
      </c>
      <c r="C22" s="270"/>
      <c r="D22" s="270" t="s">
        <v>274</v>
      </c>
      <c r="E22" s="271"/>
      <c r="F22" s="105"/>
    </row>
    <row r="23" spans="1:6" s="97" customFormat="1" ht="78" customHeight="1" x14ac:dyDescent="0.25">
      <c r="A23" s="105"/>
      <c r="B23" s="106" t="s">
        <v>275</v>
      </c>
      <c r="C23" s="107" t="s">
        <v>276</v>
      </c>
      <c r="D23" s="107" t="s">
        <v>277</v>
      </c>
      <c r="E23" s="108" t="s">
        <v>278</v>
      </c>
      <c r="F23" s="105"/>
    </row>
    <row r="24" spans="1:6" s="97" customFormat="1" ht="35.25" customHeight="1" x14ac:dyDescent="0.25">
      <c r="A24" s="105"/>
      <c r="B24" s="109">
        <v>-0.25411684331544698</v>
      </c>
      <c r="C24" s="110">
        <v>0.17</v>
      </c>
      <c r="D24" s="111">
        <v>9</v>
      </c>
      <c r="E24" s="112" t="s">
        <v>279</v>
      </c>
      <c r="F24" s="105"/>
    </row>
    <row r="25" spans="1:6" s="97" customFormat="1" x14ac:dyDescent="0.25">
      <c r="A25" s="105"/>
      <c r="B25" s="105"/>
      <c r="C25" s="105"/>
      <c r="D25" s="105"/>
      <c r="E25" s="105"/>
      <c r="F25" s="105"/>
    </row>
    <row r="26" spans="1:6" s="97" customFormat="1" x14ac:dyDescent="0.25">
      <c r="A26" s="105"/>
      <c r="B26" s="105"/>
      <c r="C26" s="105"/>
      <c r="D26" s="105"/>
      <c r="E26" s="105"/>
      <c r="F26" s="105"/>
    </row>
    <row r="27" spans="1:6" s="97" customFormat="1" x14ac:dyDescent="0.25">
      <c r="A27" s="105"/>
      <c r="B27" s="105"/>
      <c r="C27" s="105"/>
      <c r="D27" s="105"/>
      <c r="E27" s="105"/>
      <c r="F27" s="105"/>
    </row>
    <row r="28" spans="1:6" s="97" customFormat="1" x14ac:dyDescent="0.25">
      <c r="A28" s="105"/>
      <c r="B28" s="105"/>
      <c r="C28" s="105"/>
      <c r="D28" s="105"/>
      <c r="E28" s="105"/>
      <c r="F28" s="105"/>
    </row>
    <row r="29" spans="1:6" s="97" customFormat="1" x14ac:dyDescent="0.25">
      <c r="A29" s="105"/>
      <c r="B29" s="105"/>
      <c r="C29" s="105"/>
      <c r="D29" s="105"/>
      <c r="E29" s="105"/>
      <c r="F29" s="105"/>
    </row>
    <row r="30" spans="1:6" s="97" customFormat="1" x14ac:dyDescent="0.25">
      <c r="A30" s="105"/>
      <c r="B30" s="105"/>
      <c r="C30" s="105"/>
      <c r="D30" s="105"/>
      <c r="E30" s="105"/>
      <c r="F30" s="105"/>
    </row>
    <row r="31" spans="1:6" s="97" customFormat="1" x14ac:dyDescent="0.25">
      <c r="A31" s="105"/>
      <c r="B31" s="105"/>
      <c r="C31" s="105"/>
      <c r="D31" s="105"/>
      <c r="E31" s="105"/>
      <c r="F31" s="105"/>
    </row>
    <row r="32" spans="1:6" s="97" customFormat="1" x14ac:dyDescent="0.25">
      <c r="A32" s="105"/>
      <c r="B32" s="105"/>
      <c r="C32" s="105"/>
      <c r="D32" s="105"/>
      <c r="E32" s="105"/>
      <c r="F32" s="105"/>
    </row>
    <row r="33" spans="1:6" s="97" customFormat="1" x14ac:dyDescent="0.25">
      <c r="A33" s="105"/>
      <c r="B33" s="105"/>
      <c r="C33" s="105"/>
      <c r="D33" s="105"/>
      <c r="E33" s="105"/>
      <c r="F33" s="105"/>
    </row>
    <row r="34" spans="1:6" s="97" customFormat="1" x14ac:dyDescent="0.25">
      <c r="A34" s="105"/>
      <c r="B34" s="105"/>
      <c r="C34" s="105"/>
      <c r="D34" s="105"/>
      <c r="E34" s="105"/>
      <c r="F34" s="105"/>
    </row>
    <row r="35" spans="1:6" s="97" customFormat="1" x14ac:dyDescent="0.25">
      <c r="A35" s="105"/>
      <c r="B35" s="105"/>
      <c r="C35" s="105"/>
      <c r="D35" s="105"/>
      <c r="E35" s="105"/>
      <c r="F35" s="105"/>
    </row>
    <row r="36" spans="1:6" s="97" customFormat="1" x14ac:dyDescent="0.25">
      <c r="A36" s="105"/>
      <c r="B36" s="105"/>
      <c r="C36" s="105"/>
      <c r="D36" s="105"/>
      <c r="E36" s="105"/>
      <c r="F36" s="105"/>
    </row>
    <row r="37" spans="1:6" s="97" customFormat="1" x14ac:dyDescent="0.25"/>
    <row r="38" spans="1:6" s="97" customFormat="1" x14ac:dyDescent="0.25"/>
    <row r="39" spans="1:6" s="97" customFormat="1" x14ac:dyDescent="0.25"/>
    <row r="40" spans="1:6" s="97" customFormat="1" x14ac:dyDescent="0.25"/>
    <row r="41" spans="1:6" s="97" customFormat="1" x14ac:dyDescent="0.25"/>
    <row r="42" spans="1:6" s="97" customFormat="1" x14ac:dyDescent="0.25"/>
    <row r="43" spans="1:6" s="97" customFormat="1" x14ac:dyDescent="0.25"/>
    <row r="44" spans="1:6" s="97" customFormat="1" x14ac:dyDescent="0.25"/>
    <row r="45" spans="1:6" s="97" customFormat="1" x14ac:dyDescent="0.25"/>
    <row r="46" spans="1:6" s="97" customFormat="1" x14ac:dyDescent="0.25"/>
    <row r="47" spans="1:6" s="97" customFormat="1" x14ac:dyDescent="0.25"/>
    <row r="48" spans="1:6" s="97" customFormat="1" x14ac:dyDescent="0.25"/>
    <row r="49" s="97" customFormat="1" x14ac:dyDescent="0.25"/>
    <row r="50" s="97" customFormat="1" x14ac:dyDescent="0.25"/>
    <row r="51" s="97" customFormat="1" x14ac:dyDescent="0.25"/>
    <row r="52" s="97" customFormat="1" x14ac:dyDescent="0.25"/>
    <row r="53" s="97" customFormat="1" x14ac:dyDescent="0.25"/>
    <row r="54" s="97" customFormat="1" x14ac:dyDescent="0.25"/>
    <row r="55" s="97" customFormat="1" x14ac:dyDescent="0.25"/>
    <row r="56" s="97" customFormat="1" x14ac:dyDescent="0.25"/>
    <row r="57" s="97" customFormat="1" x14ac:dyDescent="0.25"/>
    <row r="58" s="97" customFormat="1" x14ac:dyDescent="0.25"/>
    <row r="59" s="97" customFormat="1" x14ac:dyDescent="0.25"/>
    <row r="60" s="97" customFormat="1" x14ac:dyDescent="0.25"/>
    <row r="61" s="97" customFormat="1" x14ac:dyDescent="0.25"/>
    <row r="62" s="97" customFormat="1" x14ac:dyDescent="0.25"/>
    <row r="63" s="97" customFormat="1" x14ac:dyDescent="0.25"/>
    <row r="64" s="97" customFormat="1" x14ac:dyDescent="0.25"/>
    <row r="65" s="97" customFormat="1" x14ac:dyDescent="0.25"/>
    <row r="66" s="97" customFormat="1" x14ac:dyDescent="0.25"/>
    <row r="67" s="97" customFormat="1" x14ac:dyDescent="0.25"/>
    <row r="68" s="97" customFormat="1" x14ac:dyDescent="0.25"/>
    <row r="69" s="97" customFormat="1" x14ac:dyDescent="0.25"/>
    <row r="70" s="97" customFormat="1" x14ac:dyDescent="0.25"/>
  </sheetData>
  <mergeCells count="12">
    <mergeCell ref="A15:F15"/>
    <mergeCell ref="A16:F16"/>
    <mergeCell ref="A18:F18"/>
    <mergeCell ref="B21:E21"/>
    <mergeCell ref="B22:C22"/>
    <mergeCell ref="D22:E22"/>
    <mergeCell ref="A13:F13"/>
    <mergeCell ref="A5:F5"/>
    <mergeCell ref="A7:F7"/>
    <mergeCell ref="A9:F9"/>
    <mergeCell ref="A10:F10"/>
    <mergeCell ref="A12:F12"/>
  </mergeCells>
  <phoneticPr fontId="49" type="noConversion"/>
  <pageMargins left="0.27559055118110237" right="0.31496062992125984" top="0.39370078740157483" bottom="0.27559055118110237" header="0.19685039370078741" footer="0.1574803149606299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zoomScale="60" zoomScaleNormal="100" workbookViewId="0">
      <selection activeCell="C31" sqref="C31:D54"/>
    </sheetView>
  </sheetViews>
  <sheetFormatPr defaultColWidth="0" defaultRowHeight="15.75" x14ac:dyDescent="0.25"/>
  <cols>
    <col min="1" max="1" width="9.140625" style="36" customWidth="1"/>
    <col min="2" max="2" width="37.7109375" style="36" customWidth="1"/>
    <col min="3" max="3" width="16.28515625" style="36" customWidth="1"/>
    <col min="4" max="4" width="16.5703125" style="36" customWidth="1"/>
    <col min="5" max="5" width="16.7109375" style="36" customWidth="1"/>
    <col min="6" max="6" width="15.5703125" style="36" customWidth="1"/>
    <col min="7" max="7" width="21.140625" style="36" customWidth="1"/>
    <col min="8" max="8" width="20.85546875" style="36" customWidth="1"/>
    <col min="9" max="9" width="28.140625" style="36" customWidth="1"/>
    <col min="10" max="10" width="32.28515625" style="36" customWidth="1"/>
    <col min="11" max="250" width="9.140625" style="36" customWidth="1"/>
    <col min="251" max="251" width="37.7109375" style="36" customWidth="1"/>
    <col min="252" max="252" width="9.140625" style="36" customWidth="1"/>
    <col min="253" max="253" width="12.85546875" style="36" customWidth="1"/>
    <col min="254" max="16384" width="0" style="36" hidden="1"/>
  </cols>
  <sheetData>
    <row r="1" spans="1:42" ht="18.75" x14ac:dyDescent="0.25">
      <c r="J1" s="29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05" t="str">
        <f>'1. паспорт местоположение'!$A$5</f>
        <v>Год раскрытия информации: 2019 год</v>
      </c>
      <c r="B5" s="205"/>
      <c r="C5" s="205"/>
      <c r="D5" s="205"/>
      <c r="E5" s="205"/>
      <c r="F5" s="205"/>
      <c r="G5" s="205"/>
      <c r="H5" s="205"/>
      <c r="I5" s="205"/>
      <c r="J5" s="20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</row>
    <row r="6" spans="1:42" ht="18.75" x14ac:dyDescent="0.3">
      <c r="I6" s="13"/>
    </row>
    <row r="7" spans="1:42" ht="18.75" x14ac:dyDescent="0.25">
      <c r="A7" s="209" t="s">
        <v>5</v>
      </c>
      <c r="B7" s="209"/>
      <c r="C7" s="209"/>
      <c r="D7" s="209"/>
      <c r="E7" s="209"/>
      <c r="F7" s="209"/>
      <c r="G7" s="209"/>
      <c r="H7" s="209"/>
      <c r="I7" s="209"/>
      <c r="J7" s="209"/>
    </row>
    <row r="8" spans="1:42" ht="18.75" x14ac:dyDescent="0.25">
      <c r="A8" s="209"/>
      <c r="B8" s="209"/>
      <c r="C8" s="209"/>
      <c r="D8" s="209"/>
      <c r="E8" s="209"/>
      <c r="F8" s="209"/>
      <c r="G8" s="209"/>
      <c r="H8" s="209"/>
      <c r="I8" s="209"/>
      <c r="J8" s="209"/>
    </row>
    <row r="9" spans="1:42" x14ac:dyDescent="0.25">
      <c r="A9" s="210" t="s">
        <v>265</v>
      </c>
      <c r="B9" s="210"/>
      <c r="C9" s="210"/>
      <c r="D9" s="210"/>
      <c r="E9" s="210"/>
      <c r="F9" s="210"/>
      <c r="G9" s="210"/>
      <c r="H9" s="210"/>
      <c r="I9" s="210"/>
      <c r="J9" s="210"/>
    </row>
    <row r="10" spans="1:42" x14ac:dyDescent="0.25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</row>
    <row r="11" spans="1:42" ht="18.75" x14ac:dyDescent="0.25">
      <c r="A11" s="209"/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42" x14ac:dyDescent="0.25">
      <c r="A12" s="210" t="str">
        <f>'1. паспорт местоположение'!A12:C12</f>
        <v>I_Che223_18</v>
      </c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42" x14ac:dyDescent="0.25">
      <c r="A13" s="206" t="s">
        <v>3</v>
      </c>
      <c r="B13" s="206"/>
      <c r="C13" s="206"/>
      <c r="D13" s="206"/>
      <c r="E13" s="206"/>
      <c r="F13" s="206"/>
      <c r="G13" s="206"/>
      <c r="H13" s="206"/>
      <c r="I13" s="206"/>
      <c r="J13" s="206"/>
    </row>
    <row r="14" spans="1:42" ht="18.75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</row>
    <row r="15" spans="1:42" x14ac:dyDescent="0.25">
      <c r="A15" s="210" t="str">
        <f>'1. паспорт местоположение'!A15:C15</f>
        <v>Модернизация ПС 110/35 кВ Гудермес-Тяговая с установкой шкафа промежуточных зажимов ШЗВ-200 и шкафа обогрева ШОВ-4</v>
      </c>
      <c r="B15" s="210"/>
      <c r="C15" s="210"/>
      <c r="D15" s="210"/>
      <c r="E15" s="210"/>
      <c r="F15" s="210"/>
      <c r="G15" s="210"/>
      <c r="H15" s="210"/>
      <c r="I15" s="210"/>
      <c r="J15" s="210"/>
    </row>
    <row r="16" spans="1:42" x14ac:dyDescent="0.25">
      <c r="A16" s="206" t="s">
        <v>2</v>
      </c>
      <c r="B16" s="206"/>
      <c r="C16" s="206"/>
      <c r="D16" s="206"/>
      <c r="E16" s="206"/>
      <c r="F16" s="206"/>
      <c r="G16" s="206"/>
      <c r="H16" s="206"/>
      <c r="I16" s="206"/>
      <c r="J16" s="206"/>
    </row>
    <row r="17" spans="1:10" ht="15.75" customHeight="1" x14ac:dyDescent="0.25">
      <c r="J17" s="70"/>
    </row>
    <row r="18" spans="1:10" x14ac:dyDescent="0.25">
      <c r="I18" s="54"/>
    </row>
    <row r="19" spans="1:10" ht="15.75" customHeight="1" x14ac:dyDescent="0.25">
      <c r="A19" s="282" t="s">
        <v>250</v>
      </c>
      <c r="B19" s="282"/>
      <c r="C19" s="282"/>
      <c r="D19" s="282"/>
      <c r="E19" s="282"/>
      <c r="F19" s="282"/>
      <c r="G19" s="282"/>
      <c r="H19" s="282"/>
      <c r="I19" s="282"/>
      <c r="J19" s="282"/>
    </row>
    <row r="20" spans="1:10" x14ac:dyDescent="0.25">
      <c r="A20" s="38"/>
      <c r="B20" s="38"/>
      <c r="C20" s="53"/>
      <c r="D20" s="53"/>
      <c r="E20" s="53"/>
      <c r="F20" s="53"/>
      <c r="G20" s="53"/>
      <c r="H20" s="53"/>
      <c r="I20" s="53"/>
      <c r="J20" s="53"/>
    </row>
    <row r="21" spans="1:10" ht="28.5" customHeight="1" x14ac:dyDescent="0.25">
      <c r="A21" s="272" t="s">
        <v>134</v>
      </c>
      <c r="B21" s="272" t="s">
        <v>133</v>
      </c>
      <c r="C21" s="278" t="s">
        <v>196</v>
      </c>
      <c r="D21" s="278"/>
      <c r="E21" s="278"/>
      <c r="F21" s="278"/>
      <c r="G21" s="273" t="s">
        <v>132</v>
      </c>
      <c r="H21" s="275" t="s">
        <v>198</v>
      </c>
      <c r="I21" s="272" t="s">
        <v>131</v>
      </c>
      <c r="J21" s="274" t="s">
        <v>197</v>
      </c>
    </row>
    <row r="22" spans="1:10" ht="58.5" customHeight="1" x14ac:dyDescent="0.25">
      <c r="A22" s="272"/>
      <c r="B22" s="272"/>
      <c r="C22" s="279" t="s">
        <v>0</v>
      </c>
      <c r="D22" s="279"/>
      <c r="E22" s="280" t="s">
        <v>452</v>
      </c>
      <c r="F22" s="281"/>
      <c r="G22" s="273"/>
      <c r="H22" s="276"/>
      <c r="I22" s="272"/>
      <c r="J22" s="274"/>
    </row>
    <row r="23" spans="1:10" ht="39.75" customHeight="1" x14ac:dyDescent="0.25">
      <c r="A23" s="272"/>
      <c r="B23" s="272"/>
      <c r="C23" s="52" t="s">
        <v>130</v>
      </c>
      <c r="D23" s="52" t="s">
        <v>129</v>
      </c>
      <c r="E23" s="52" t="s">
        <v>130</v>
      </c>
      <c r="F23" s="52" t="s">
        <v>129</v>
      </c>
      <c r="G23" s="273"/>
      <c r="H23" s="277"/>
      <c r="I23" s="272"/>
      <c r="J23" s="274"/>
    </row>
    <row r="24" spans="1:10" x14ac:dyDescent="0.25">
      <c r="A24" s="42">
        <v>1</v>
      </c>
      <c r="B24" s="42">
        <v>2</v>
      </c>
      <c r="C24" s="52">
        <v>3</v>
      </c>
      <c r="D24" s="52">
        <v>4</v>
      </c>
      <c r="E24" s="52">
        <v>7</v>
      </c>
      <c r="F24" s="52">
        <v>8</v>
      </c>
      <c r="G24" s="52">
        <v>9</v>
      </c>
      <c r="H24" s="52">
        <v>10</v>
      </c>
      <c r="I24" s="52">
        <v>11</v>
      </c>
      <c r="J24" s="52">
        <v>12</v>
      </c>
    </row>
    <row r="25" spans="1:10" s="118" customFormat="1" ht="31.5" x14ac:dyDescent="0.25">
      <c r="A25" s="113">
        <v>1</v>
      </c>
      <c r="B25" s="114" t="s">
        <v>128</v>
      </c>
      <c r="C25" s="114"/>
      <c r="D25" s="115"/>
      <c r="E25" s="115"/>
      <c r="F25" s="115"/>
      <c r="G25" s="115"/>
      <c r="H25" s="115"/>
      <c r="I25" s="116"/>
      <c r="J25" s="117"/>
    </row>
    <row r="26" spans="1:10" s="118" customFormat="1" ht="21.75" customHeight="1" x14ac:dyDescent="0.25">
      <c r="A26" s="113" t="s">
        <v>127</v>
      </c>
      <c r="B26" s="119" t="s">
        <v>200</v>
      </c>
      <c r="C26" s="51" t="s">
        <v>289</v>
      </c>
      <c r="D26" s="51" t="s">
        <v>289</v>
      </c>
      <c r="E26" s="51" t="s">
        <v>267</v>
      </c>
      <c r="F26" s="51" t="s">
        <v>267</v>
      </c>
      <c r="G26" s="115"/>
      <c r="H26" s="115"/>
      <c r="I26" s="116"/>
      <c r="J26" s="116"/>
    </row>
    <row r="27" spans="1:10" s="120" customFormat="1" ht="39" customHeight="1" x14ac:dyDescent="0.25">
      <c r="A27" s="113" t="s">
        <v>126</v>
      </c>
      <c r="B27" s="119" t="s">
        <v>202</v>
      </c>
      <c r="C27" s="51" t="s">
        <v>289</v>
      </c>
      <c r="D27" s="51" t="s">
        <v>289</v>
      </c>
      <c r="E27" s="51" t="s">
        <v>267</v>
      </c>
      <c r="F27" s="51" t="s">
        <v>267</v>
      </c>
      <c r="G27" s="115"/>
      <c r="H27" s="115"/>
      <c r="I27" s="116"/>
      <c r="J27" s="116"/>
    </row>
    <row r="28" spans="1:10" s="120" customFormat="1" ht="70.5" customHeight="1" x14ac:dyDescent="0.25">
      <c r="A28" s="113" t="s">
        <v>201</v>
      </c>
      <c r="B28" s="119" t="s">
        <v>206</v>
      </c>
      <c r="C28" s="51" t="s">
        <v>289</v>
      </c>
      <c r="D28" s="51" t="s">
        <v>289</v>
      </c>
      <c r="E28" s="51" t="s">
        <v>267</v>
      </c>
      <c r="F28" s="51" t="s">
        <v>267</v>
      </c>
      <c r="G28" s="115"/>
      <c r="H28" s="115"/>
      <c r="I28" s="116"/>
      <c r="J28" s="116"/>
    </row>
    <row r="29" spans="1:10" s="120" customFormat="1" ht="54" customHeight="1" x14ac:dyDescent="0.25">
      <c r="A29" s="113" t="s">
        <v>125</v>
      </c>
      <c r="B29" s="119" t="s">
        <v>205</v>
      </c>
      <c r="C29" s="51" t="s">
        <v>289</v>
      </c>
      <c r="D29" s="51" t="s">
        <v>289</v>
      </c>
      <c r="E29" s="51" t="s">
        <v>267</v>
      </c>
      <c r="F29" s="51" t="s">
        <v>267</v>
      </c>
      <c r="G29" s="115"/>
      <c r="H29" s="115"/>
      <c r="I29" s="116"/>
      <c r="J29" s="116"/>
    </row>
    <row r="30" spans="1:10" s="120" customFormat="1" ht="42" customHeight="1" x14ac:dyDescent="0.25">
      <c r="A30" s="113" t="s">
        <v>124</v>
      </c>
      <c r="B30" s="119" t="s">
        <v>207</v>
      </c>
      <c r="C30" s="51" t="s">
        <v>289</v>
      </c>
      <c r="D30" s="51" t="s">
        <v>289</v>
      </c>
      <c r="E30" s="51" t="s">
        <v>267</v>
      </c>
      <c r="F30" s="51" t="s">
        <v>267</v>
      </c>
      <c r="G30" s="115"/>
      <c r="H30" s="115"/>
      <c r="I30" s="116"/>
      <c r="J30" s="116"/>
    </row>
    <row r="31" spans="1:10" s="120" customFormat="1" ht="37.5" customHeight="1" x14ac:dyDescent="0.25">
      <c r="A31" s="113" t="s">
        <v>123</v>
      </c>
      <c r="B31" s="121" t="s">
        <v>203</v>
      </c>
      <c r="C31" s="51" t="s">
        <v>289</v>
      </c>
      <c r="D31" s="51" t="s">
        <v>289</v>
      </c>
      <c r="E31" s="51" t="s">
        <v>267</v>
      </c>
      <c r="F31" s="51" t="s">
        <v>267</v>
      </c>
      <c r="G31" s="172"/>
      <c r="H31" s="172"/>
      <c r="I31" s="116"/>
      <c r="J31" s="116"/>
    </row>
    <row r="32" spans="1:10" s="120" customFormat="1" ht="42.75" customHeight="1" x14ac:dyDescent="0.25">
      <c r="A32" s="113" t="s">
        <v>121</v>
      </c>
      <c r="B32" s="121" t="s">
        <v>208</v>
      </c>
      <c r="C32" s="51" t="s">
        <v>289</v>
      </c>
      <c r="D32" s="51" t="s">
        <v>289</v>
      </c>
      <c r="E32" s="51" t="s">
        <v>267</v>
      </c>
      <c r="F32" s="51" t="s">
        <v>267</v>
      </c>
      <c r="G32" s="172"/>
      <c r="H32" s="172"/>
      <c r="I32" s="116"/>
      <c r="J32" s="116"/>
    </row>
    <row r="33" spans="1:10" s="120" customFormat="1" ht="37.5" customHeight="1" x14ac:dyDescent="0.25">
      <c r="A33" s="113" t="s">
        <v>219</v>
      </c>
      <c r="B33" s="121" t="s">
        <v>149</v>
      </c>
      <c r="C33" s="51" t="s">
        <v>289</v>
      </c>
      <c r="D33" s="51" t="s">
        <v>289</v>
      </c>
      <c r="E33" s="51" t="s">
        <v>267</v>
      </c>
      <c r="F33" s="51" t="s">
        <v>267</v>
      </c>
      <c r="G33" s="172"/>
      <c r="H33" s="172"/>
      <c r="I33" s="116"/>
      <c r="J33" s="116"/>
    </row>
    <row r="34" spans="1:10" s="120" customFormat="1" ht="47.25" customHeight="1" x14ac:dyDescent="0.25">
      <c r="A34" s="113" t="s">
        <v>220</v>
      </c>
      <c r="B34" s="121" t="s">
        <v>212</v>
      </c>
      <c r="C34" s="51" t="s">
        <v>289</v>
      </c>
      <c r="D34" s="51" t="s">
        <v>289</v>
      </c>
      <c r="E34" s="69" t="s">
        <v>267</v>
      </c>
      <c r="F34" s="69" t="s">
        <v>267</v>
      </c>
      <c r="G34" s="122"/>
      <c r="H34" s="122"/>
      <c r="I34" s="122"/>
      <c r="J34" s="116"/>
    </row>
    <row r="35" spans="1:10" s="120" customFormat="1" ht="49.5" customHeight="1" x14ac:dyDescent="0.25">
      <c r="A35" s="113" t="s">
        <v>221</v>
      </c>
      <c r="B35" s="121" t="s">
        <v>122</v>
      </c>
      <c r="C35" s="51" t="s">
        <v>289</v>
      </c>
      <c r="D35" s="51" t="s">
        <v>289</v>
      </c>
      <c r="E35" s="69" t="s">
        <v>267</v>
      </c>
      <c r="F35" s="69" t="s">
        <v>267</v>
      </c>
      <c r="G35" s="172"/>
      <c r="H35" s="172"/>
      <c r="I35" s="122"/>
      <c r="J35" s="116"/>
    </row>
    <row r="36" spans="1:10" s="118" customFormat="1" ht="37.5" customHeight="1" x14ac:dyDescent="0.25">
      <c r="A36" s="113" t="s">
        <v>222</v>
      </c>
      <c r="B36" s="121" t="s">
        <v>204</v>
      </c>
      <c r="C36" s="51" t="s">
        <v>289</v>
      </c>
      <c r="D36" s="51" t="s">
        <v>289</v>
      </c>
      <c r="E36" s="51" t="s">
        <v>267</v>
      </c>
      <c r="F36" s="51" t="s">
        <v>267</v>
      </c>
      <c r="G36" s="123"/>
      <c r="H36" s="123"/>
      <c r="I36" s="116"/>
      <c r="J36" s="116"/>
    </row>
    <row r="37" spans="1:10" s="118" customFormat="1" x14ac:dyDescent="0.25">
      <c r="A37" s="113" t="s">
        <v>223</v>
      </c>
      <c r="B37" s="121" t="s">
        <v>120</v>
      </c>
      <c r="C37" s="51" t="s">
        <v>289</v>
      </c>
      <c r="D37" s="51" t="s">
        <v>289</v>
      </c>
      <c r="E37" s="51"/>
      <c r="F37" s="51"/>
      <c r="G37" s="123"/>
      <c r="H37" s="123"/>
      <c r="I37" s="116"/>
      <c r="J37" s="116"/>
    </row>
    <row r="38" spans="1:10" s="118" customFormat="1" x14ac:dyDescent="0.25">
      <c r="A38" s="113" t="s">
        <v>224</v>
      </c>
      <c r="B38" s="114" t="s">
        <v>119</v>
      </c>
      <c r="C38" s="51" t="s">
        <v>289</v>
      </c>
      <c r="D38" s="51" t="s">
        <v>289</v>
      </c>
      <c r="E38" s="51"/>
      <c r="F38" s="51"/>
      <c r="G38" s="116"/>
      <c r="H38" s="116"/>
      <c r="I38" s="116"/>
      <c r="J38" s="116"/>
    </row>
    <row r="39" spans="1:10" s="118" customFormat="1" ht="63" customHeight="1" x14ac:dyDescent="0.25">
      <c r="A39" s="113">
        <v>2</v>
      </c>
      <c r="B39" s="121" t="s">
        <v>209</v>
      </c>
      <c r="C39" s="51" t="s">
        <v>289</v>
      </c>
      <c r="D39" s="51" t="s">
        <v>289</v>
      </c>
      <c r="E39" s="69" t="s">
        <v>267</v>
      </c>
      <c r="F39" s="69" t="s">
        <v>267</v>
      </c>
      <c r="G39" s="172"/>
      <c r="H39" s="172"/>
      <c r="I39" s="116"/>
      <c r="J39" s="116"/>
    </row>
    <row r="40" spans="1:10" s="118" customFormat="1" ht="33.75" customHeight="1" x14ac:dyDescent="0.25">
      <c r="A40" s="113" t="s">
        <v>118</v>
      </c>
      <c r="B40" s="121" t="s">
        <v>211</v>
      </c>
      <c r="C40" s="51" t="s">
        <v>289</v>
      </c>
      <c r="D40" s="51" t="s">
        <v>289</v>
      </c>
      <c r="E40" s="69" t="s">
        <v>267</v>
      </c>
      <c r="F40" s="69" t="s">
        <v>267</v>
      </c>
      <c r="G40" s="172"/>
      <c r="H40" s="172"/>
      <c r="I40" s="116"/>
      <c r="J40" s="116"/>
    </row>
    <row r="41" spans="1:10" s="118" customFormat="1" ht="63" customHeight="1" x14ac:dyDescent="0.25">
      <c r="A41" s="113" t="s">
        <v>117</v>
      </c>
      <c r="B41" s="114" t="s">
        <v>263</v>
      </c>
      <c r="C41" s="51" t="s">
        <v>289</v>
      </c>
      <c r="D41" s="51" t="s">
        <v>289</v>
      </c>
      <c r="E41" s="69" t="s">
        <v>267</v>
      </c>
      <c r="F41" s="69" t="s">
        <v>267</v>
      </c>
      <c r="G41" s="172"/>
      <c r="H41" s="172"/>
      <c r="I41" s="116"/>
      <c r="J41" s="116"/>
    </row>
    <row r="42" spans="1:10" s="118" customFormat="1" ht="58.5" customHeight="1" x14ac:dyDescent="0.25">
      <c r="A42" s="113">
        <v>3</v>
      </c>
      <c r="B42" s="121" t="s">
        <v>210</v>
      </c>
      <c r="C42" s="51" t="s">
        <v>289</v>
      </c>
      <c r="D42" s="51" t="s">
        <v>289</v>
      </c>
      <c r="E42" s="69" t="s">
        <v>267</v>
      </c>
      <c r="F42" s="69" t="s">
        <v>267</v>
      </c>
      <c r="G42" s="172"/>
      <c r="H42" s="172"/>
      <c r="I42" s="116"/>
      <c r="J42" s="116"/>
    </row>
    <row r="43" spans="1:10" s="118" customFormat="1" ht="34.5" customHeight="1" x14ac:dyDescent="0.25">
      <c r="A43" s="113" t="s">
        <v>116</v>
      </c>
      <c r="B43" s="121" t="s">
        <v>114</v>
      </c>
      <c r="C43" s="51" t="s">
        <v>289</v>
      </c>
      <c r="D43" s="51" t="s">
        <v>289</v>
      </c>
      <c r="E43" s="51" t="s">
        <v>268</v>
      </c>
      <c r="F43" s="51" t="s">
        <v>268</v>
      </c>
      <c r="G43" s="116"/>
      <c r="H43" s="116"/>
      <c r="I43" s="116"/>
      <c r="J43" s="116"/>
    </row>
    <row r="44" spans="1:10" s="118" customFormat="1" ht="24.75" customHeight="1" x14ac:dyDescent="0.25">
      <c r="A44" s="113" t="s">
        <v>115</v>
      </c>
      <c r="B44" s="121" t="s">
        <v>112</v>
      </c>
      <c r="C44" s="51" t="s">
        <v>289</v>
      </c>
      <c r="D44" s="51" t="s">
        <v>289</v>
      </c>
      <c r="E44" s="51" t="s">
        <v>268</v>
      </c>
      <c r="F44" s="51" t="s">
        <v>268</v>
      </c>
      <c r="G44" s="116"/>
      <c r="H44" s="116"/>
      <c r="I44" s="116"/>
      <c r="J44" s="116"/>
    </row>
    <row r="45" spans="1:10" s="118" customFormat="1" ht="90.75" customHeight="1" x14ac:dyDescent="0.25">
      <c r="A45" s="113" t="s">
        <v>113</v>
      </c>
      <c r="B45" s="121" t="s">
        <v>215</v>
      </c>
      <c r="C45" s="51" t="s">
        <v>289</v>
      </c>
      <c r="D45" s="51" t="s">
        <v>289</v>
      </c>
      <c r="E45" s="51" t="s">
        <v>267</v>
      </c>
      <c r="F45" s="51" t="s">
        <v>267</v>
      </c>
      <c r="G45" s="116"/>
      <c r="H45" s="116"/>
      <c r="I45" s="116"/>
      <c r="J45" s="116"/>
    </row>
    <row r="46" spans="1:10" s="118" customFormat="1" ht="167.25" customHeight="1" x14ac:dyDescent="0.25">
      <c r="A46" s="113" t="s">
        <v>111</v>
      </c>
      <c r="B46" s="121" t="s">
        <v>213</v>
      </c>
      <c r="C46" s="51" t="s">
        <v>289</v>
      </c>
      <c r="D46" s="51" t="s">
        <v>289</v>
      </c>
      <c r="E46" s="51" t="s">
        <v>267</v>
      </c>
      <c r="F46" s="51" t="s">
        <v>267</v>
      </c>
      <c r="G46" s="116"/>
      <c r="H46" s="116"/>
      <c r="I46" s="116"/>
      <c r="J46" s="116"/>
    </row>
    <row r="47" spans="1:10" s="118" customFormat="1" ht="30.75" customHeight="1" x14ac:dyDescent="0.25">
      <c r="A47" s="113" t="s">
        <v>109</v>
      </c>
      <c r="B47" s="121" t="s">
        <v>110</v>
      </c>
      <c r="C47" s="51" t="s">
        <v>289</v>
      </c>
      <c r="D47" s="51" t="s">
        <v>289</v>
      </c>
      <c r="E47" s="51" t="s">
        <v>269</v>
      </c>
      <c r="F47" s="51" t="s">
        <v>269</v>
      </c>
      <c r="G47" s="116"/>
      <c r="H47" s="116"/>
      <c r="I47" s="116"/>
      <c r="J47" s="116"/>
    </row>
    <row r="48" spans="1:10" s="118" customFormat="1" ht="37.5" customHeight="1" x14ac:dyDescent="0.25">
      <c r="A48" s="113" t="s">
        <v>225</v>
      </c>
      <c r="B48" s="114" t="s">
        <v>108</v>
      </c>
      <c r="C48" s="51" t="s">
        <v>289</v>
      </c>
      <c r="D48" s="51" t="s">
        <v>289</v>
      </c>
      <c r="E48" s="51"/>
      <c r="F48" s="51"/>
      <c r="G48" s="116"/>
      <c r="H48" s="116"/>
      <c r="I48" s="116"/>
      <c r="J48" s="116"/>
    </row>
    <row r="49" spans="1:10" s="118" customFormat="1" ht="44.25" customHeight="1" x14ac:dyDescent="0.25">
      <c r="A49" s="113">
        <v>4</v>
      </c>
      <c r="B49" s="121" t="s">
        <v>106</v>
      </c>
      <c r="C49" s="51" t="s">
        <v>289</v>
      </c>
      <c r="D49" s="51" t="s">
        <v>289</v>
      </c>
      <c r="E49" s="119" t="s">
        <v>267</v>
      </c>
      <c r="F49" s="119" t="s">
        <v>267</v>
      </c>
      <c r="G49" s="116"/>
      <c r="H49" s="116"/>
      <c r="I49" s="116"/>
      <c r="J49" s="116"/>
    </row>
    <row r="50" spans="1:10" s="118" customFormat="1" ht="86.25" customHeight="1" x14ac:dyDescent="0.25">
      <c r="A50" s="113" t="s">
        <v>107</v>
      </c>
      <c r="B50" s="121" t="s">
        <v>214</v>
      </c>
      <c r="C50" s="51" t="s">
        <v>289</v>
      </c>
      <c r="D50" s="51" t="s">
        <v>289</v>
      </c>
      <c r="E50" s="51" t="s">
        <v>289</v>
      </c>
      <c r="F50" s="51" t="s">
        <v>289</v>
      </c>
      <c r="G50" s="172"/>
      <c r="H50" s="172"/>
      <c r="I50" s="116"/>
      <c r="J50" s="116"/>
    </row>
    <row r="51" spans="1:10" s="118" customFormat="1" ht="77.25" customHeight="1" x14ac:dyDescent="0.25">
      <c r="A51" s="113" t="s">
        <v>105</v>
      </c>
      <c r="B51" s="121" t="s">
        <v>216</v>
      </c>
      <c r="C51" s="51" t="s">
        <v>289</v>
      </c>
      <c r="D51" s="51" t="s">
        <v>289</v>
      </c>
      <c r="E51" s="51" t="s">
        <v>267</v>
      </c>
      <c r="F51" s="51" t="s">
        <v>267</v>
      </c>
      <c r="G51" s="172"/>
      <c r="H51" s="172"/>
      <c r="I51" s="116"/>
      <c r="J51" s="116"/>
    </row>
    <row r="52" spans="1:10" s="118" customFormat="1" ht="71.25" customHeight="1" x14ac:dyDescent="0.25">
      <c r="A52" s="113" t="s">
        <v>103</v>
      </c>
      <c r="B52" s="121" t="s">
        <v>104</v>
      </c>
      <c r="C52" s="51" t="s">
        <v>289</v>
      </c>
      <c r="D52" s="51" t="s">
        <v>289</v>
      </c>
      <c r="E52" s="51" t="s">
        <v>267</v>
      </c>
      <c r="F52" s="51" t="s">
        <v>267</v>
      </c>
      <c r="G52" s="116"/>
      <c r="H52" s="116"/>
      <c r="I52" s="116"/>
      <c r="J52" s="116"/>
    </row>
    <row r="53" spans="1:10" s="118" customFormat="1" ht="48" customHeight="1" x14ac:dyDescent="0.25">
      <c r="A53" s="113" t="s">
        <v>101</v>
      </c>
      <c r="B53" s="118" t="s">
        <v>217</v>
      </c>
      <c r="C53" s="51" t="s">
        <v>289</v>
      </c>
      <c r="D53" s="51" t="s">
        <v>289</v>
      </c>
      <c r="E53" s="51" t="s">
        <v>289</v>
      </c>
      <c r="F53" s="51" t="s">
        <v>289</v>
      </c>
      <c r="G53" s="172"/>
      <c r="H53" s="172"/>
      <c r="I53" s="116"/>
      <c r="J53" s="116"/>
    </row>
    <row r="54" spans="1:10" s="118" customFormat="1" ht="46.5" customHeight="1" x14ac:dyDescent="0.25">
      <c r="A54" s="113" t="s">
        <v>218</v>
      </c>
      <c r="B54" s="121" t="s">
        <v>102</v>
      </c>
      <c r="C54" s="51" t="s">
        <v>289</v>
      </c>
      <c r="D54" s="51" t="s">
        <v>289</v>
      </c>
      <c r="E54" s="51" t="s">
        <v>267</v>
      </c>
      <c r="F54" s="51" t="s">
        <v>267</v>
      </c>
      <c r="G54" s="172"/>
      <c r="H54" s="172"/>
      <c r="I54" s="116"/>
      <c r="J54" s="116"/>
    </row>
  </sheetData>
  <mergeCells count="21">
    <mergeCell ref="A19:J19"/>
    <mergeCell ref="A12:J12"/>
    <mergeCell ref="A13:J13"/>
    <mergeCell ref="A15:J15"/>
    <mergeCell ref="A16:J16"/>
    <mergeCell ref="A14:J14"/>
    <mergeCell ref="A8:J8"/>
    <mergeCell ref="A11:J11"/>
    <mergeCell ref="A5:J5"/>
    <mergeCell ref="A7:J7"/>
    <mergeCell ref="A9:J9"/>
    <mergeCell ref="A10:J10"/>
    <mergeCell ref="A21:A23"/>
    <mergeCell ref="B21:B23"/>
    <mergeCell ref="G21:G23"/>
    <mergeCell ref="I21:I23"/>
    <mergeCell ref="J21:J23"/>
    <mergeCell ref="H21:H23"/>
    <mergeCell ref="C21:F21"/>
    <mergeCell ref="C22:D22"/>
    <mergeCell ref="E22:F22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 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 5 анализ эконом эфф'!Область_печати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2016-01-18T11:30:33Z</cp:lastPrinted>
  <dcterms:created xsi:type="dcterms:W3CDTF">2015-08-16T15:31:05Z</dcterms:created>
  <dcterms:modified xsi:type="dcterms:W3CDTF">2019-11-12T06:42:24Z</dcterms:modified>
</cp:coreProperties>
</file>