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20" windowWidth="12465" windowHeight="11745" tabRatio="903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  <definedName name="_xlnm.Print_Area" localSheetId="10">'7. Паспорт отчет о закупке'!$A$1:$AV$32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F64" i="15" l="1"/>
  <c r="E64" i="15" s="1"/>
  <c r="F63" i="15"/>
  <c r="E63" i="15" s="1"/>
  <c r="F62" i="15"/>
  <c r="E62" i="15" s="1"/>
  <c r="F61" i="15"/>
  <c r="E61" i="15" s="1"/>
  <c r="F60" i="15"/>
  <c r="E60" i="15" s="1"/>
  <c r="F59" i="15"/>
  <c r="F58" i="15"/>
  <c r="F57" i="15"/>
  <c r="F56" i="15"/>
  <c r="E56" i="15" s="1"/>
  <c r="F55" i="15"/>
  <c r="F54" i="15"/>
  <c r="E54" i="15" s="1"/>
  <c r="F53" i="15"/>
  <c r="F52" i="15"/>
  <c r="E52" i="15" s="1"/>
  <c r="F51" i="15"/>
  <c r="F50" i="15"/>
  <c r="F49" i="15"/>
  <c r="F48" i="15"/>
  <c r="F47" i="15"/>
  <c r="F46" i="15"/>
  <c r="F45" i="15"/>
  <c r="F44" i="15"/>
  <c r="F43" i="15"/>
  <c r="F42" i="15"/>
  <c r="E42" i="15" s="1"/>
  <c r="F41" i="15"/>
  <c r="E41" i="15" s="1"/>
  <c r="F40" i="15"/>
  <c r="E40" i="15" s="1"/>
  <c r="F39" i="15"/>
  <c r="E39" i="15" s="1"/>
  <c r="F38" i="15"/>
  <c r="E38" i="15" s="1"/>
  <c r="F37" i="15"/>
  <c r="E37" i="15" s="1"/>
  <c r="F36" i="15"/>
  <c r="E36" i="15" s="1"/>
  <c r="D34" i="15"/>
  <c r="F34" i="15"/>
  <c r="D33" i="15"/>
  <c r="F33" i="15"/>
  <c r="D32" i="15"/>
  <c r="D31" i="15"/>
  <c r="F31" i="15"/>
  <c r="B80" i="22"/>
  <c r="B79" i="22" s="1"/>
  <c r="E29" i="15"/>
  <c r="C26" i="15"/>
  <c r="D25" i="15"/>
  <c r="B78" i="22"/>
  <c r="F26" i="15" l="1"/>
  <c r="E26" i="15" s="1"/>
  <c r="C29" i="15"/>
  <c r="D26" i="15"/>
  <c r="D28" i="15"/>
  <c r="E44" i="15"/>
  <c r="E46" i="15"/>
  <c r="E48" i="15"/>
  <c r="E50" i="15"/>
  <c r="F25" i="15"/>
  <c r="D27" i="15"/>
  <c r="C28" i="15"/>
  <c r="D29" i="15"/>
  <c r="E28" i="15"/>
  <c r="E53" i="15"/>
  <c r="E55" i="15"/>
  <c r="E57" i="15"/>
  <c r="E45" i="15"/>
  <c r="E47" i="15"/>
  <c r="E49" i="15"/>
  <c r="C25" i="15"/>
  <c r="B26" i="22"/>
  <c r="C27" i="15" l="1"/>
  <c r="E25" i="15"/>
  <c r="F27" i="15"/>
  <c r="E27" i="15" s="1"/>
  <c r="B29" i="22"/>
  <c r="B30" i="22"/>
  <c r="B68" i="22"/>
  <c r="B77" i="22"/>
  <c r="F25" i="27"/>
  <c r="G25" i="27" s="1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P25" i="27" s="1"/>
  <c r="AQ25" i="27" s="1"/>
  <c r="AR25" i="27" s="1"/>
  <c r="AS25" i="27" s="1"/>
  <c r="AT25" i="27" s="1"/>
  <c r="AU25" i="27" s="1"/>
  <c r="AV25" i="27" s="1"/>
  <c r="A14" i="24"/>
  <c r="A15" i="22"/>
  <c r="A16" i="13"/>
  <c r="A12" i="22"/>
  <c r="A11" i="15"/>
  <c r="A12" i="16"/>
  <c r="A12" i="23"/>
  <c r="A12" i="6"/>
  <c r="E12" i="14"/>
  <c r="A13" i="13"/>
  <c r="A14" i="15"/>
  <c r="A15" i="16"/>
  <c r="A15" i="23"/>
  <c r="A15" i="6"/>
  <c r="E15" i="14"/>
  <c r="A5" i="22"/>
  <c r="A4" i="15" s="1"/>
  <c r="A5" i="27"/>
  <c r="A5" i="16"/>
  <c r="A5" i="23"/>
  <c r="A6" i="26"/>
  <c r="A4" i="25"/>
  <c r="A5" i="6"/>
  <c r="A5" i="14"/>
  <c r="A6" i="13"/>
  <c r="A4" i="24"/>
  <c r="A11" i="24"/>
  <c r="A15" i="27"/>
  <c r="A12" i="27"/>
  <c r="A16" i="26"/>
  <c r="A13" i="26"/>
  <c r="A14" i="25"/>
  <c r="A11" i="25"/>
  <c r="B41" i="22" l="1"/>
  <c r="C48" i="7"/>
  <c r="B42" i="22"/>
  <c r="B40" i="22" s="1"/>
  <c r="C47" i="7"/>
</calcChain>
</file>

<file path=xl/sharedStrings.xml><?xml version="1.0" encoding="utf-8"?>
<sst xmlns="http://schemas.openxmlformats.org/spreadsheetml/2006/main" count="1173" uniqueCount="536">
  <si>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</si>
  <si>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</si>
  <si>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</si>
  <si>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</si>
  <si>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</si>
  <si>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</si>
  <si>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</si>
  <si>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</si>
  <si>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</si>
  <si>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</si>
  <si>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</si>
  <si>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</si>
  <si>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</si>
  <si>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</si>
  <si>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</si>
  <si>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</si>
  <si>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</si>
  <si>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</si>
  <si>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</si>
  <si>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</si>
  <si>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</si>
  <si>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</si>
  <si>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</si>
  <si>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</si>
  <si>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</si>
  <si>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</si>
  <si>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</si>
  <si>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</si>
  <si>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</si>
  <si>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</si>
  <si>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</si>
  <si>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</si>
  <si>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</si>
  <si>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</si>
  <si>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</si>
  <si>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</si>
  <si>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</si>
  <si>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</si>
  <si>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</si>
  <si>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</si>
  <si>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</si>
  <si>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</si>
  <si>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</si>
  <si>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</si>
  <si>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</si>
  <si>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</si>
  <si>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</si>
  <si>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</si>
  <si>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</si>
  <si>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</si>
  <si>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</si>
  <si>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</si>
  <si>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</si>
  <si>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</si>
  <si>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</si>
  <si>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</si>
  <si>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</si>
  <si>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</si>
  <si>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</si>
  <si>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</si>
  <si>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</si>
  <si>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</si>
  <si>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</si>
  <si>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</si>
  <si>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</si>
  <si>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</si>
  <si>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</si>
  <si>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</si>
  <si>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</si>
  <si>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</si>
  <si>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</si>
  <si>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</si>
  <si>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</si>
  <si>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</si>
  <si>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</si>
  <si>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</si>
  <si>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</si>
  <si>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</si>
  <si>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</si>
  <si>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</si>
  <si>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</si>
  <si>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</si>
  <si>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</si>
  <si>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</si>
  <si>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</si>
  <si>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</si>
  <si>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</si>
  <si>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</si>
  <si>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</si>
  <si>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</si>
  <si>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</si>
  <si>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</si>
  <si>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</si>
  <si>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</si>
  <si>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</si>
  <si>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</si>
  <si>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</si>
  <si>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</si>
  <si>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</si>
  <si>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</si>
  <si>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</si>
  <si>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</si>
  <si>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</si>
  <si>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</si>
  <si>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</si>
  <si>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</si>
  <si>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</si>
  <si>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</si>
  <si>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</si>
  <si>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</si>
  <si>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</si>
  <si>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</si>
  <si>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</si>
  <si>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</si>
  <si>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</si>
  <si>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</si>
  <si>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</si>
  <si>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</si>
  <si>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</si>
  <si>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</si>
  <si>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</si>
  <si>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</si>
  <si>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</si>
  <si>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</si>
  <si>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</si>
  <si>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</si>
  <si>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</si>
  <si>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</si>
  <si>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</si>
  <si>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</si>
  <si>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</si>
  <si>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</si>
  <si>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</si>
  <si>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</si>
  <si>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</si>
  <si>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</si>
  <si>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</si>
  <si>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</si>
  <si>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</si>
  <si>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</si>
  <si>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</si>
  <si>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</si>
  <si>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</si>
  <si>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</si>
  <si>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</si>
  <si>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</si>
  <si>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</si>
  <si>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</si>
  <si>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</si>
  <si>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</si>
  <si>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</si>
  <si>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</si>
  <si>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</si>
  <si>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</si>
  <si>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</si>
  <si>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</si>
  <si>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</si>
  <si>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</si>
  <si>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</si>
  <si>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</si>
  <si>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</si>
  <si>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</si>
  <si>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</si>
  <si>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</si>
  <si>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</si>
  <si>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</si>
  <si>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</si>
  <si>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</si>
  <si>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</si>
  <si>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</si>
  <si>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</si>
  <si>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</si>
  <si>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</si>
  <si>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</si>
  <si>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</si>
  <si>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</si>
  <si>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</si>
  <si>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</si>
  <si>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</si>
  <si>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</si>
  <si>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</si>
  <si>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</si>
  <si>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</si>
  <si>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</si>
  <si>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</si>
  <si>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</si>
  <si>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</si>
  <si>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</si>
  <si>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</si>
  <si>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</si>
  <si>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</si>
  <si>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</si>
  <si>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</si>
  <si>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</si>
  <si>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</si>
  <si>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</si>
  <si>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</si>
  <si>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</si>
  <si>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</si>
  <si>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</si>
  <si>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</si>
  <si>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</si>
  <si>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</si>
  <si>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</si>
  <si>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</si>
  <si>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</si>
  <si>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</si>
  <si>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</si>
  <si>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</si>
  <si>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</si>
  <si>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</si>
  <si>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</si>
  <si>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</si>
  <si>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</si>
  <si>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</si>
  <si>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</si>
  <si>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</si>
  <si>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</si>
  <si>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</si>
  <si>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</si>
  <si>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</si>
  <si>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</si>
  <si>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</si>
  <si>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</si>
  <si>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</si>
  <si>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</si>
  <si>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</si>
  <si>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</si>
  <si>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</si>
  <si>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</si>
  <si>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</si>
  <si>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</si>
  <si>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</si>
  <si>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</si>
  <si>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</si>
  <si>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</si>
  <si>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</si>
  <si>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</si>
  <si>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</si>
  <si>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</si>
  <si>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</si>
  <si>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</si>
  <si>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</si>
  <si>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</si>
  <si>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</si>
  <si>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</si>
  <si>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</si>
  <si>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</si>
  <si>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</si>
  <si>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</si>
  <si>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</si>
  <si>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</si>
  <si>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</si>
  <si>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</si>
  <si>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</si>
  <si>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</si>
  <si>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</si>
  <si>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</si>
  <si>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</si>
  <si>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</si>
  <si>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</si>
  <si>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</si>
  <si>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</si>
  <si>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</si>
  <si>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</si>
  <si>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</si>
  <si>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</si>
  <si>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</si>
  <si>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</si>
  <si>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</si>
  <si>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</si>
  <si>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</si>
  <si>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</si>
  <si>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</si>
  <si>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</si>
  <si>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</si>
  <si>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</si>
  <si>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</si>
  <si>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</si>
  <si>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</si>
  <si>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</si>
  <si>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</si>
  <si>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</si>
  <si>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</si>
  <si>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</si>
  <si>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</si>
  <si>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</si>
  <si>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</si>
  <si>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</si>
  <si>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</si>
  <si>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</si>
  <si>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</si>
  <si>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</si>
  <si>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</si>
  <si>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</si>
  <si>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</si>
  <si>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</si>
  <si>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</si>
  <si>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</si>
  <si>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</si>
  <si>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</si>
  <si>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</si>
  <si>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</si>
  <si>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</si>
  <si>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</si>
  <si>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</si>
  <si>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</si>
  <si>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</si>
  <si>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</si>
  <si>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</si>
  <si>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</si>
  <si>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</si>
  <si>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</si>
  <si>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</si>
  <si>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</si>
  <si>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</si>
  <si>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</si>
  <si>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</si>
  <si>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</si>
  <si>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</si>
  <si>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</si>
  <si>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</si>
  <si>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</si>
  <si>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</si>
  <si>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</si>
  <si>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</si>
  <si>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</si>
  <si>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</si>
  <si>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</si>
  <si>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</si>
  <si>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</si>
  <si>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</si>
  <si>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</si>
  <si>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</si>
  <si>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</si>
  <si>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</si>
  <si>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</si>
  <si>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</si>
  <si>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</si>
  <si>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</si>
  <si>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</si>
  <si>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</si>
  <si>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</si>
  <si>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</si>
  <si>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</si>
  <si>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</si>
  <si>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</si>
  <si>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</si>
  <si>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</si>
  <si>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</si>
  <si>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</si>
  <si>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</si>
  <si>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</si>
  <si>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</si>
  <si>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</si>
  <si>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</si>
  <si>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</si>
  <si>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</si>
  <si>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</si>
  <si>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</si>
  <si>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</si>
  <si>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</si>
  <si>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</si>
  <si>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</si>
  <si>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</si>
  <si>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</si>
  <si>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</si>
  <si>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</si>
  <si>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</si>
  <si>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</si>
  <si>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</si>
  <si>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</si>
  <si>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</si>
  <si>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</si>
  <si>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</si>
  <si>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</si>
  <si>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</si>
  <si>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</si>
  <si>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</si>
  <si>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</si>
  <si>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</si>
  <si>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</si>
  <si>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</si>
  <si>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</si>
  <si>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</si>
  <si>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</si>
  <si>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</si>
  <si>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</si>
  <si>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</si>
  <si>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</si>
  <si>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</si>
  <si>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</si>
  <si>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</si>
  <si>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</si>
  <si>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</si>
  <si>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</si>
  <si>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</si>
  <si>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</si>
  <si>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</si>
  <si>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</si>
  <si>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</si>
  <si>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</si>
  <si>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</si>
  <si>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</si>
  <si>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</si>
  <si>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</si>
  <si>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</si>
  <si>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</si>
  <si>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</si>
  <si>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</si>
  <si>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</si>
  <si>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</si>
  <si>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</si>
  <si>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</si>
  <si>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</si>
  <si>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</si>
  <si>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</si>
  <si>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</si>
  <si>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</si>
  <si>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</si>
  <si>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</si>
  <si>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</si>
  <si>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</si>
  <si>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</si>
  <si>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</si>
  <si>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</si>
  <si>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</si>
  <si>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</si>
  <si>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</si>
  <si>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</si>
  <si>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</si>
  <si>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</si>
  <si>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</si>
  <si>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</si>
  <si>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</si>
  <si>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объем заключенного договора в ценах ___ 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</si>
  <si>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</si>
  <si>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</si>
  <si>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</si>
  <si>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</si>
  <si>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Строительство ВЛ110кВ Грозненская ТЭС -ГРП110 1,2 цепь АС300 5,3х2км</t>
  </si>
  <si>
    <t>АС-300</t>
  </si>
  <si>
    <t>I_Che149</t>
  </si>
  <si>
    <t>Номинальная мощность, МВ•А, Мвар</t>
  </si>
  <si>
    <t>ЗП</t>
  </si>
  <si>
    <t>ООО "Лидер"</t>
  </si>
  <si>
    <t>5,3</t>
  </si>
  <si>
    <t>ООО "Успех" № 15-18-ЧечеЭ</t>
  </si>
  <si>
    <t>объем заключенного договора в ценах __2018__года с НДС, млн. руб.</t>
  </si>
  <si>
    <t>Возможно реализовать в установленный срок</t>
  </si>
  <si>
    <t xml:space="preserve">№155/2018 от 28.02.2018 </t>
  </si>
  <si>
    <t>в работе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</si>
  <si>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</si>
  <si>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</si>
  <si>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р-н, Грознеский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</si>
  <si>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</si>
  <si>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</si>
  <si>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</si>
  <si>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- 5,3 км. Показатель максимальной мощности присоединяемых объектов по производству электрической энергии - 5548,8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</si>
  <si>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</si>
  <si>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</si>
  <si>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>г.Грозный Заводской р-н</t>
  </si>
  <si>
    <t>Грозненская ТЭС</t>
  </si>
  <si>
    <t>ПС 110 кВ "ГРП-110"</t>
  </si>
  <si>
    <t>Строительство ВЛ-110кВ Грозненская ТЭС-ГРП110 ВЛ №-1 (1 цепь) протяженностью 5,3 км</t>
  </si>
  <si>
    <t xml:space="preserve"> ВЛ110кВ Грозненская ТЭС -ГРП110 1,2 цепь АС300 5,3х2км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</si>
  <si>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</si>
  <si>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</si>
  <si>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>Строительство ВЛ110кВ Грозненская ТЭС -ГРП110 1 цепь АС300 5,3км</t>
  </si>
  <si>
    <t>- ; 9,53 млн.руб./км</t>
  </si>
  <si>
    <t>Разделение на этапы не предусмотрено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</si>
  <si>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                                                                             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</si>
  <si>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</si>
  <si>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5,3 км (5,3 км)</t>
  </si>
  <si>
    <t xml:space="preserve">ООО "Лидер" </t>
  </si>
  <si>
    <t>ПИР</t>
  </si>
  <si>
    <t>30 225,881</t>
  </si>
  <si>
    <t>35345,541</t>
  </si>
  <si>
    <t xml:space="preserve">25.12.2017 </t>
  </si>
  <si>
    <t>26.12.2017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</si>
  <si>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</si>
  <si>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</si>
  <si>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</si>
  <si>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</si>
  <si>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</si>
  <si>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</si>
  <si>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</si>
  <si>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12.2018/12.2018</t>
  </si>
  <si>
    <t>0</t>
  </si>
  <si>
    <t xml:space="preserve">услуги 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</si>
  <si>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</si>
  <si>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</si>
  <si>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</si>
  <si>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</si>
  <si>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</si>
  <si>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</si>
  <si>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</si>
  <si>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</si>
  <si>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</si>
  <si>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</si>
  <si>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СМР</t>
  </si>
  <si>
    <t>ООО  "Успех"</t>
  </si>
  <si>
    <t>_</t>
  </si>
  <si>
    <t>ООО                         "Успех"</t>
  </si>
  <si>
    <t>Дополнительное соглашение №2 от 12.11.2018г. К договору №15-18-ЧечеЭ от 12.03.2018 г.</t>
  </si>
  <si>
    <t>объем заключенного договора в ценах __2018__ года с НДС, млн. руб.</t>
  </si>
  <si>
    <t>ООО "Успех" доп сог. №2 от 12.11.18г.к договору№ 15-18-ЧечеЭ</t>
  </si>
  <si>
    <t xml:space="preserve">ООО "Успех" 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</si>
  <si>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</si>
  <si>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</si>
  <si>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</si>
  <si>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1. Строительство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</si>
  <si>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I_Che147-I_Che162. Объем затрат в рамках данного договора по титулу составил 5,29801533 млн руб. с НДС</t>
  </si>
  <si>
    <t>Дополнительное соглашение № 1 от 20.04.2018г.к договору  № 84-17-ЧечЭ от26.12.2017</t>
  </si>
  <si>
    <t>20.04.2018</t>
  </si>
  <si>
    <t>31.06.2018г.</t>
  </si>
  <si>
    <t>Экономия по договору</t>
  </si>
  <si>
    <t>Услуги</t>
  </si>
  <si>
    <t>Кадастровые работы</t>
  </si>
  <si>
    <t>торги не проводились</t>
  </si>
  <si>
    <t>ООО "АБРИС"</t>
  </si>
  <si>
    <t>не проводилась</t>
  </si>
  <si>
    <t>Авторский надзор</t>
  </si>
  <si>
    <t>Лидер (ООО)</t>
  </si>
  <si>
    <t>ООО "АБРИС" 06-18-ЧЭ  от 26.11.2018 (кадастровые работы) (не облагается НДС)</t>
  </si>
  <si>
    <t>объем заключенного договора в ценах 2018 года с НДС, млн. руб.</t>
  </si>
  <si>
    <t>ООО "АБРИС" 04-18-ЧЭ  от 03.12.2018 (кадастровые работы) (не облагается НДС)</t>
  </si>
  <si>
    <t>Лидер (ООО) 09-18-ЧЭ  от 03.12.2018 (авторский надзор)</t>
  </si>
  <si>
    <t>ООО "Лидер" № 84-17-ЧечЭ от 26.12.2017г.(доп.согл.№1 от 20.04.2018г., №2 от 20.08.2018г., № 3 от 22.10.2018г.) (объем затрат по данному объекту составил 5,29801533 млн.руб.)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</si>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</sst>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;[Red]#,##0.00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60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9" fillId="0" borderId="0"/>
    <xf numFmtId="0" fontId="28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1" fillId="0" borderId="0"/>
    <xf numFmtId="0" fontId="10" fillId="0" borderId="0"/>
    <xf numFmtId="0" fontId="6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59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87">
    <xf numFmtId="0" fontId="0" fillId="0" borderId="0" xfId="0"/>
    <xf numFmtId="0" fontId="62" fillId="0" borderId="0" xfId="58"/>
    <xf numFmtId="0" fontId="5" fillId="0" borderId="0" xfId="58" applyFont="1"/>
    <xf numFmtId="0" fontId="3" fillId="0" borderId="0" xfId="58" applyFont="1" applyAlignment="1">
      <alignment horizontal="center" vertical="center"/>
    </xf>
    <xf numFmtId="0" fontId="6" fillId="0" borderId="0" xfId="58" applyFont="1" applyAlignment="1">
      <alignment vertical="center"/>
    </xf>
    <xf numFmtId="0" fontId="7" fillId="0" borderId="0" xfId="58" applyFont="1" applyAlignment="1">
      <alignment vertical="center"/>
    </xf>
    <xf numFmtId="0" fontId="8" fillId="0" borderId="0" xfId="58" applyFont="1" applyAlignment="1">
      <alignment vertical="center"/>
    </xf>
    <xf numFmtId="0" fontId="9" fillId="0" borderId="0" xfId="58" applyFont="1" applyBorder="1"/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vertical="center"/>
    </xf>
    <xf numFmtId="0" fontId="9" fillId="0" borderId="0" xfId="58" applyFont="1"/>
    <xf numFmtId="0" fontId="4" fillId="0" borderId="0" xfId="58" applyFont="1" applyAlignment="1">
      <alignment vertical="center"/>
    </xf>
    <xf numFmtId="0" fontId="4" fillId="0" borderId="0" xfId="58" applyFont="1" applyAlignment="1">
      <alignment horizontal="center" vertical="center"/>
    </xf>
    <xf numFmtId="0" fontId="11" fillId="0" borderId="0" xfId="44" applyFont="1" applyAlignment="1">
      <alignment horizontal="right"/>
    </xf>
    <xf numFmtId="0" fontId="9" fillId="0" borderId="0" xfId="58" applyFont="1" applyFill="1"/>
    <xf numFmtId="0" fontId="12" fillId="0" borderId="0" xfId="58" applyFont="1" applyAlignment="1">
      <alignment horizontal="left" vertical="center"/>
    </xf>
    <xf numFmtId="0" fontId="14" fillId="0" borderId="0" xfId="58" applyFont="1"/>
    <xf numFmtId="0" fontId="62" fillId="0" borderId="0" xfId="58" applyBorder="1"/>
    <xf numFmtId="49" fontId="6" fillId="0" borderId="10" xfId="58" applyNumberFormat="1" applyFont="1" applyFill="1" applyBorder="1" applyAlignment="1">
      <alignment vertical="center"/>
    </xf>
    <xf numFmtId="0" fontId="6" fillId="0" borderId="10" xfId="58" applyFont="1" applyBorder="1" applyAlignment="1">
      <alignment vertical="center" wrapText="1"/>
    </xf>
    <xf numFmtId="0" fontId="6" fillId="0" borderId="11" xfId="58" applyFont="1" applyBorder="1" applyAlignment="1">
      <alignment vertical="center" wrapText="1"/>
    </xf>
    <xf numFmtId="0" fontId="5" fillId="0" borderId="0" xfId="58" applyFont="1" applyBorder="1"/>
    <xf numFmtId="0" fontId="3" fillId="0" borderId="0" xfId="58" applyFont="1" applyBorder="1" applyAlignment="1">
      <alignment horizontal="center" vertical="center"/>
    </xf>
    <xf numFmtId="0" fontId="6" fillId="0" borderId="0" xfId="58" applyFont="1" applyBorder="1" applyAlignment="1">
      <alignment vertical="center"/>
    </xf>
    <xf numFmtId="0" fontId="10" fillId="0" borderId="11" xfId="44" applyFont="1" applyFill="1" applyBorder="1" applyAlignment="1">
      <alignment vertical="center" wrapText="1"/>
    </xf>
    <xf numFmtId="0" fontId="5" fillId="24" borderId="0" xfId="58" applyFont="1" applyFill="1"/>
    <xf numFmtId="0" fontId="5" fillId="24" borderId="0" xfId="58" applyFont="1" applyFill="1" applyBorder="1"/>
    <xf numFmtId="0" fontId="3" fillId="24" borderId="0" xfId="58" applyFont="1" applyFill="1" applyBorder="1" applyAlignment="1">
      <alignment horizontal="center" vertical="center"/>
    </xf>
    <xf numFmtId="0" fontId="6" fillId="24" borderId="0" xfId="58" applyFont="1" applyFill="1" applyBorder="1" applyAlignment="1">
      <alignment vertical="center"/>
    </xf>
    <xf numFmtId="0" fontId="6" fillId="0" borderId="10" xfId="58" applyFont="1" applyFill="1" applyBorder="1" applyAlignment="1">
      <alignment vertical="center" wrapText="1"/>
    </xf>
    <xf numFmtId="0" fontId="6" fillId="0" borderId="11" xfId="58" applyFont="1" applyFill="1" applyBorder="1" applyAlignment="1">
      <alignment vertical="center" wrapText="1"/>
    </xf>
    <xf numFmtId="0" fontId="6" fillId="0" borderId="10" xfId="58" applyFont="1" applyBorder="1" applyAlignment="1">
      <alignment horizontal="center" vertical="center" wrapText="1"/>
    </xf>
    <xf numFmtId="0" fontId="6" fillId="0" borderId="11" xfId="58" applyFont="1" applyBorder="1" applyAlignment="1">
      <alignment horizontal="center" vertical="center" wrapText="1"/>
    </xf>
    <xf numFmtId="0" fontId="11" fillId="0" borderId="0" xfId="44" applyFont="1" applyAlignment="1">
      <alignment horizontal="right" vertical="center"/>
    </xf>
    <xf numFmtId="0" fontId="6" fillId="0" borderId="10" xfId="58" applyFont="1" applyBorder="1" applyAlignment="1">
      <alignment horizontal="left" vertical="center" wrapText="1"/>
    </xf>
    <xf numFmtId="0" fontId="6" fillId="0" borderId="11" xfId="58" applyFont="1" applyBorder="1" applyAlignment="1">
      <alignment horizontal="left" vertical="center" wrapText="1"/>
    </xf>
    <xf numFmtId="0" fontId="10" fillId="0" borderId="0" xfId="44" applyFont="1" applyFill="1" applyAlignment="1">
      <alignment horizontal="right"/>
    </xf>
    <xf numFmtId="0" fontId="10" fillId="0" borderId="10" xfId="44" applyFont="1" applyFill="1" applyBorder="1" applyAlignment="1">
      <alignment horizontal="left" vertical="center" wrapText="1"/>
    </xf>
    <xf numFmtId="0" fontId="10" fillId="0" borderId="0" xfId="42" applyFont="1" applyAlignment="1">
      <alignment horizontal="left"/>
    </xf>
    <xf numFmtId="0" fontId="10" fillId="0" borderId="0" xfId="42" applyFont="1" applyBorder="1" applyAlignment="1">
      <alignment horizontal="left"/>
    </xf>
    <xf numFmtId="0" fontId="10" fillId="0" borderId="0" xfId="42" applyNumberFormat="1" applyFont="1" applyBorder="1" applyAlignment="1">
      <alignment horizontal="left" vertical="center"/>
    </xf>
    <xf numFmtId="0" fontId="10" fillId="0" borderId="0" xfId="42" applyNumberFormat="1" applyFont="1" applyBorder="1" applyAlignment="1">
      <alignment vertical="center"/>
    </xf>
    <xf numFmtId="0" fontId="39" fillId="0" borderId="0" xfId="42" applyFont="1" applyAlignment="1">
      <alignment horizontal="left"/>
    </xf>
    <xf numFmtId="0" fontId="40" fillId="0" borderId="0" xfId="42" applyFont="1" applyAlignment="1">
      <alignment horizontal="left"/>
    </xf>
    <xf numFmtId="0" fontId="10" fillId="0" borderId="0" xfId="42" applyFont="1" applyAlignment="1">
      <alignment horizontal="left" vertical="center"/>
    </xf>
    <xf numFmtId="49" fontId="10" fillId="0" borderId="10" xfId="42" applyNumberFormat="1" applyFont="1" applyBorder="1" applyAlignment="1">
      <alignment horizontal="center" vertical="center"/>
    </xf>
    <xf numFmtId="0" fontId="10" fillId="0" borderId="10" xfId="42" applyFont="1" applyBorder="1" applyAlignment="1">
      <alignment horizontal="center" vertical="center"/>
    </xf>
    <xf numFmtId="0" fontId="10" fillId="0" borderId="10" xfId="42" applyFont="1" applyBorder="1" applyAlignment="1">
      <alignment horizontal="left" vertical="center"/>
    </xf>
    <xf numFmtId="0" fontId="10" fillId="0" borderId="0" xfId="44" applyFont="1"/>
    <xf numFmtId="0" fontId="10" fillId="0" borderId="0" xfId="44" applyFont="1" applyFill="1"/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/>
    <xf numFmtId="0" fontId="10" fillId="0" borderId="0" xfId="44" applyFont="1" applyFill="1" applyBorder="1" applyAlignment="1">
      <alignment horizontal="left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/>
    <xf numFmtId="0" fontId="10" fillId="0" borderId="0" xfId="44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left" vertical="center" wrapText="1"/>
    </xf>
    <xf numFmtId="0" fontId="37" fillId="0" borderId="10" xfId="44" applyFont="1" applyFill="1" applyBorder="1" applyAlignment="1">
      <alignment horizontal="center" vertical="center" wrapText="1"/>
    </xf>
    <xf numFmtId="49" fontId="10" fillId="0" borderId="10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left" vertical="center" wrapText="1"/>
    </xf>
    <xf numFmtId="49" fontId="37" fillId="0" borderId="10" xfId="44" applyNumberFormat="1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left" vertical="center" wrapText="1"/>
    </xf>
    <xf numFmtId="0" fontId="11" fillId="0" borderId="0" xfId="44" applyFont="1" applyFill="1" applyAlignment="1"/>
    <xf numFmtId="0" fontId="7" fillId="0" borderId="0" xfId="44" applyFont="1" applyFill="1" applyAlignment="1">
      <alignment vertical="center"/>
    </xf>
    <xf numFmtId="0" fontId="37" fillId="0" borderId="10" xfId="44" applyNumberFormat="1" applyFont="1" applyFill="1" applyBorder="1" applyAlignment="1">
      <alignment horizontal="center" vertical="top" wrapText="1"/>
    </xf>
    <xf numFmtId="0" fontId="10" fillId="0" borderId="0" xfId="44" applyFont="1" applyBorder="1" applyAlignment="1"/>
    <xf numFmtId="0" fontId="10" fillId="0" borderId="0" xfId="44" applyFont="1" applyAlignment="1">
      <alignment horizontal="right"/>
    </xf>
    <xf numFmtId="0" fontId="37" fillId="0" borderId="0" xfId="44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10" xfId="42" applyFont="1" applyBorder="1" applyAlignment="1">
      <alignment horizontal="center" vertical="top"/>
    </xf>
    <xf numFmtId="0" fontId="35" fillId="0" borderId="0" xfId="44" applyFont="1" applyFill="1"/>
    <xf numFmtId="0" fontId="10" fillId="0" borderId="0" xfId="44" applyFill="1"/>
    <xf numFmtId="2" fontId="43" fillId="0" borderId="0" xfId="44" applyNumberFormat="1" applyFont="1" applyFill="1" applyAlignment="1">
      <alignment horizontal="right" vertical="top" wrapText="1"/>
    </xf>
    <xf numFmtId="0" fontId="35" fillId="0" borderId="0" xfId="44" applyFont="1" applyFill="1" applyAlignment="1">
      <alignment horizontal="right"/>
    </xf>
    <xf numFmtId="1" fontId="36" fillId="0" borderId="0" xfId="44" applyNumberFormat="1" applyFont="1" applyFill="1" applyAlignment="1">
      <alignment horizontal="left" vertical="top"/>
    </xf>
    <xf numFmtId="49" fontId="35" fillId="0" borderId="0" xfId="44" applyNumberFormat="1" applyFont="1" applyFill="1" applyAlignment="1">
      <alignment horizontal="left" vertical="top" wrapText="1"/>
    </xf>
    <xf numFmtId="49" fontId="35" fillId="0" borderId="0" xfId="44" applyNumberFormat="1" applyFont="1" applyFill="1" applyBorder="1" applyAlignment="1">
      <alignment horizontal="left" vertical="top"/>
    </xf>
    <xf numFmtId="0" fontId="35" fillId="0" borderId="0" xfId="44" applyFont="1" applyFill="1" applyBorder="1" applyAlignment="1">
      <alignment horizontal="center" vertical="center"/>
    </xf>
    <xf numFmtId="0" fontId="42" fillId="0" borderId="0" xfId="44" applyFont="1" applyFill="1" applyAlignment="1">
      <alignment horizontal="center"/>
    </xf>
    <xf numFmtId="0" fontId="6" fillId="0" borderId="10" xfId="58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6" fillId="25" borderId="11" xfId="58" applyFont="1" applyFill="1" applyBorder="1" applyAlignment="1">
      <alignment vertical="center" wrapText="1"/>
    </xf>
    <xf numFmtId="2" fontId="10" fillId="0" borderId="0" xfId="44" applyNumberFormat="1" applyFont="1" applyFill="1" applyBorder="1" applyAlignment="1">
      <alignment horizontal="left" vertical="center" wrapText="1"/>
    </xf>
    <xf numFmtId="0" fontId="14" fillId="0" borderId="0" xfId="58" applyFont="1" applyFill="1"/>
    <xf numFmtId="0" fontId="11" fillId="0" borderId="0" xfId="44" applyFont="1" applyFill="1" applyAlignment="1">
      <alignment horizontal="right" vertical="center"/>
    </xf>
    <xf numFmtId="0" fontId="11" fillId="0" borderId="0" xfId="44" applyFont="1" applyFill="1" applyAlignment="1">
      <alignment horizontal="right"/>
    </xf>
    <xf numFmtId="0" fontId="12" fillId="0" borderId="0" xfId="58" applyFont="1" applyFill="1" applyAlignment="1">
      <alignment horizontal="left" vertical="center"/>
    </xf>
    <xf numFmtId="0" fontId="12" fillId="0" borderId="0" xfId="58" applyFont="1" applyFill="1" applyAlignment="1">
      <alignment horizontal="center" vertical="center"/>
    </xf>
    <xf numFmtId="0" fontId="9" fillId="0" borderId="0" xfId="58" applyFont="1" applyFill="1" applyAlignment="1">
      <alignment horizontal="center"/>
    </xf>
    <xf numFmtId="0" fontId="4" fillId="0" borderId="0" xfId="58" applyFont="1" applyFill="1" applyAlignment="1">
      <alignment horizontal="center" vertical="center"/>
    </xf>
    <xf numFmtId="0" fontId="3" fillId="0" borderId="0" xfId="58" applyFont="1" applyFill="1" applyAlignment="1">
      <alignment horizontal="center" vertical="center"/>
    </xf>
    <xf numFmtId="0" fontId="59" fillId="0" borderId="0" xfId="59" applyFill="1"/>
    <xf numFmtId="0" fontId="34" fillId="25" borderId="15" xfId="44" applyFont="1" applyFill="1" applyBorder="1" applyAlignment="1">
      <alignment horizontal="center" vertical="center" wrapText="1"/>
    </xf>
    <xf numFmtId="0" fontId="34" fillId="25" borderId="14" xfId="44" applyFont="1" applyFill="1" applyBorder="1" applyAlignment="1">
      <alignment horizontal="center" vertical="center" wrapText="1"/>
    </xf>
    <xf numFmtId="0" fontId="34" fillId="25" borderId="16" xfId="44" applyFont="1" applyFill="1" applyBorder="1" applyAlignment="1">
      <alignment horizontal="center" vertical="center" wrapText="1"/>
    </xf>
    <xf numFmtId="4" fontId="10" fillId="25" borderId="10" xfId="44" applyNumberFormat="1" applyFont="1" applyFill="1" applyBorder="1" applyAlignment="1">
      <alignment horizontal="center" vertical="center" wrapText="1"/>
    </xf>
    <xf numFmtId="3" fontId="10" fillId="25" borderId="10" xfId="44" applyNumberFormat="1" applyFont="1" applyFill="1" applyBorder="1" applyAlignment="1">
      <alignment horizontal="center" vertical="center" wrapText="1"/>
    </xf>
    <xf numFmtId="9" fontId="10" fillId="25" borderId="10" xfId="65" applyFont="1" applyFill="1" applyBorder="1" applyAlignment="1">
      <alignment horizontal="center" vertical="center" wrapText="1"/>
    </xf>
    <xf numFmtId="0" fontId="10" fillId="0" borderId="0" xfId="44" applyFont="1" applyAlignment="1">
      <alignment vertical="center" wrapText="1"/>
    </xf>
    <xf numFmtId="0" fontId="10" fillId="0" borderId="10" xfId="42" applyNumberFormat="1" applyFont="1" applyBorder="1" applyAlignment="1">
      <alignment horizontal="left" vertical="center" wrapText="1"/>
    </xf>
    <xf numFmtId="0" fontId="10" fillId="0" borderId="10" xfId="42" applyFont="1" applyBorder="1" applyAlignment="1">
      <alignment horizontal="left"/>
    </xf>
    <xf numFmtId="49" fontId="6" fillId="0" borderId="10" xfId="58" applyNumberFormat="1" applyFont="1" applyFill="1" applyBorder="1" applyAlignment="1">
      <alignment horizontal="center" vertical="center" wrapText="1"/>
    </xf>
    <xf numFmtId="0" fontId="47" fillId="0" borderId="10" xfId="58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horizontal="left" vertical="center" wrapText="1"/>
    </xf>
    <xf numFmtId="0" fontId="5" fillId="0" borderId="0" xfId="58" applyFont="1" applyFill="1"/>
    <xf numFmtId="0" fontId="34" fillId="0" borderId="10" xfId="58" applyFont="1" applyBorder="1" applyAlignment="1">
      <alignment horizontal="center" vertical="center" wrapText="1"/>
    </xf>
    <xf numFmtId="0" fontId="48" fillId="0" borderId="10" xfId="44" applyFont="1" applyFill="1" applyBorder="1" applyAlignment="1">
      <alignment horizontal="center" vertical="center" wrapText="1"/>
    </xf>
    <xf numFmtId="0" fontId="34" fillId="0" borderId="11" xfId="58" applyFont="1" applyBorder="1" applyAlignment="1">
      <alignment horizontal="center" vertical="center" wrapText="1"/>
    </xf>
    <xf numFmtId="0" fontId="49" fillId="0" borderId="0" xfId="55" applyFont="1" applyFill="1" applyAlignment="1"/>
    <xf numFmtId="0" fontId="0" fillId="0" borderId="0" xfId="0" applyFill="1"/>
    <xf numFmtId="0" fontId="49" fillId="0" borderId="0" xfId="55" applyFont="1" applyAlignment="1"/>
    <xf numFmtId="0" fontId="48" fillId="0" borderId="0" xfId="55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8" applyFont="1" applyBorder="1" applyAlignment="1">
      <alignment horizontal="center" vertical="center"/>
    </xf>
    <xf numFmtId="0" fontId="4" fillId="0" borderId="10" xfId="58" applyFont="1" applyBorder="1" applyAlignment="1">
      <alignment horizontal="center" vertical="center"/>
    </xf>
    <xf numFmtId="49" fontId="6" fillId="0" borderId="10" xfId="58" applyNumberFormat="1" applyFont="1" applyBorder="1" applyAlignment="1">
      <alignment vertical="center"/>
    </xf>
    <xf numFmtId="0" fontId="49" fillId="25" borderId="0" xfId="54" applyFont="1" applyFill="1"/>
    <xf numFmtId="0" fontId="34" fillId="25" borderId="18" xfId="58" applyFont="1" applyFill="1" applyBorder="1" applyAlignment="1">
      <alignment vertical="center" wrapText="1"/>
    </xf>
    <xf numFmtId="0" fontId="34" fillId="25" borderId="17" xfId="58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vertical="center" wrapText="1"/>
    </xf>
    <xf numFmtId="0" fontId="10" fillId="25" borderId="10" xfId="44" applyFont="1" applyFill="1" applyBorder="1" applyAlignment="1">
      <alignment horizontal="left" vertical="center" wrapText="1"/>
    </xf>
    <xf numFmtId="0" fontId="5" fillId="0" borderId="0" xfId="58" applyFont="1" applyAlignment="1">
      <alignment vertical="center" wrapText="1"/>
    </xf>
    <xf numFmtId="0" fontId="62" fillId="0" borderId="0" xfId="58" applyAlignment="1">
      <alignment vertical="center" wrapText="1"/>
    </xf>
    <xf numFmtId="2" fontId="55" fillId="0" borderId="10" xfId="58" applyNumberFormat="1" applyFont="1" applyBorder="1" applyAlignment="1">
      <alignment horizontal="left"/>
    </xf>
    <xf numFmtId="2" fontId="6" fillId="0" borderId="10" xfId="58" applyNumberFormat="1" applyFont="1" applyBorder="1" applyAlignment="1">
      <alignment horizontal="left"/>
    </xf>
    <xf numFmtId="0" fontId="37" fillId="0" borderId="10" xfId="44" applyNumberFormat="1" applyFont="1" applyBorder="1" applyAlignment="1">
      <alignment horizontal="center" vertical="center" wrapText="1"/>
    </xf>
    <xf numFmtId="0" fontId="37" fillId="0" borderId="10" xfId="44" applyFont="1" applyBorder="1" applyAlignment="1">
      <alignment vertical="center" wrapText="1"/>
    </xf>
    <xf numFmtId="0" fontId="10" fillId="0" borderId="0" xfId="44" applyFont="1" applyFill="1" applyAlignment="1">
      <alignment vertical="center" wrapText="1"/>
    </xf>
    <xf numFmtId="0" fontId="10" fillId="0" borderId="10" xfId="44" applyFont="1" applyBorder="1" applyAlignment="1">
      <alignment vertical="center" wrapText="1"/>
    </xf>
    <xf numFmtId="0" fontId="10" fillId="0" borderId="0" xfId="44" applyFont="1" applyFill="1" applyBorder="1" applyAlignment="1">
      <alignment vertical="center" wrapText="1"/>
    </xf>
    <xf numFmtId="9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Border="1" applyAlignment="1">
      <alignment horizontal="justify" vertical="center" wrapText="1"/>
    </xf>
    <xf numFmtId="0" fontId="6" fillId="0" borderId="0" xfId="58" applyFont="1" applyFill="1" applyBorder="1" applyAlignment="1">
      <alignment vertical="center"/>
    </xf>
    <xf numFmtId="0" fontId="10" fillId="0" borderId="10" xfId="42" applyNumberFormat="1" applyFont="1" applyBorder="1" applyAlignment="1">
      <alignment horizontal="center" vertical="center" wrapText="1"/>
    </xf>
    <xf numFmtId="2" fontId="6" fillId="26" borderId="10" xfId="58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10" fillId="0" borderId="10" xfId="42" applyFont="1" applyBorder="1" applyAlignment="1">
      <alignment horizontal="center"/>
    </xf>
    <xf numFmtId="0" fontId="57" fillId="0" borderId="12" xfId="42" applyFont="1" applyFill="1" applyBorder="1" applyAlignment="1">
      <alignment horizontal="center" vertical="center" wrapText="1"/>
    </xf>
    <xf numFmtId="0" fontId="57" fillId="0" borderId="10" xfId="42" applyFont="1" applyBorder="1" applyAlignment="1">
      <alignment horizontal="center" vertical="center" wrapText="1"/>
    </xf>
    <xf numFmtId="0" fontId="57" fillId="0" borderId="10" xfId="42" applyFont="1" applyFill="1" applyBorder="1" applyAlignment="1">
      <alignment horizontal="center" vertical="center" wrapText="1"/>
    </xf>
    <xf numFmtId="0" fontId="39" fillId="0" borderId="10" xfId="42" applyFont="1" applyBorder="1" applyAlignment="1">
      <alignment horizontal="center" vertical="top"/>
    </xf>
    <xf numFmtId="0" fontId="39" fillId="25" borderId="10" xfId="42" applyFont="1" applyFill="1" applyBorder="1" applyAlignment="1">
      <alignment horizontal="center" vertical="center" wrapText="1"/>
    </xf>
    <xf numFmtId="0" fontId="39" fillId="0" borderId="10" xfId="42" applyFont="1" applyBorder="1" applyAlignment="1">
      <alignment horizontal="center" vertical="center"/>
    </xf>
    <xf numFmtId="49" fontId="39" fillId="0" borderId="10" xfId="42" applyNumberFormat="1" applyFont="1" applyBorder="1" applyAlignment="1">
      <alignment horizontal="center" vertical="center"/>
    </xf>
    <xf numFmtId="0" fontId="39" fillId="0" borderId="10" xfId="42" applyFont="1" applyBorder="1" applyAlignment="1">
      <alignment horizontal="center" vertical="center" wrapText="1"/>
    </xf>
    <xf numFmtId="0" fontId="39" fillId="26" borderId="10" xfId="42" applyNumberFormat="1" applyFont="1" applyFill="1" applyBorder="1" applyAlignment="1">
      <alignment horizontal="center" vertical="center" wrapText="1"/>
    </xf>
    <xf numFmtId="0" fontId="39" fillId="26" borderId="10" xfId="42" applyFont="1" applyFill="1" applyBorder="1" applyAlignment="1">
      <alignment horizontal="center" vertical="center" wrapText="1"/>
    </xf>
    <xf numFmtId="0" fontId="39" fillId="0" borderId="0" xfId="42" applyFont="1" applyAlignment="1">
      <alignment horizontal="center" vertical="center"/>
    </xf>
    <xf numFmtId="0" fontId="10" fillId="0" borderId="0" xfId="44" applyFill="1" applyAlignment="1">
      <alignment vertical="center" wrapText="1"/>
    </xf>
    <xf numFmtId="0" fontId="62" fillId="0" borderId="10" xfId="58" applyBorder="1" applyAlignment="1">
      <alignment vertical="center" wrapText="1"/>
    </xf>
    <xf numFmtId="14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Fill="1" applyBorder="1"/>
    <xf numFmtId="0" fontId="10" fillId="0" borderId="10" xfId="44" applyFont="1" applyFill="1" applyBorder="1" applyAlignment="1">
      <alignment horizontal="center" vertical="center"/>
    </xf>
    <xf numFmtId="14" fontId="10" fillId="0" borderId="10" xfId="44" applyNumberFormat="1" applyFont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/>
    </xf>
    <xf numFmtId="14" fontId="10" fillId="0" borderId="10" xfId="44" applyNumberFormat="1" applyFont="1" applyFill="1" applyBorder="1" applyAlignment="1">
      <alignment horizontal="center" vertical="center"/>
    </xf>
    <xf numFmtId="9" fontId="10" fillId="0" borderId="10" xfId="44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center" vertical="center" wrapText="1"/>
    </xf>
    <xf numFmtId="0" fontId="49" fillId="0" borderId="0" xfId="54" applyFont="1" applyFill="1"/>
    <xf numFmtId="0" fontId="34" fillId="0" borderId="10" xfId="54" applyFont="1" applyFill="1" applyBorder="1" applyAlignment="1">
      <alignment horizontal="center" vertical="center"/>
    </xf>
    <xf numFmtId="0" fontId="54" fillId="0" borderId="10" xfId="54" applyFont="1" applyFill="1" applyBorder="1" applyAlignment="1">
      <alignment horizontal="center" vertical="center"/>
    </xf>
    <xf numFmtId="0" fontId="54" fillId="0" borderId="0" xfId="54" applyFont="1" applyFill="1"/>
    <xf numFmtId="1" fontId="58" fillId="25" borderId="10" xfId="54" applyNumberFormat="1" applyFont="1" applyFill="1" applyBorder="1" applyAlignment="1">
      <alignment horizontal="center" vertical="center" wrapText="1"/>
    </xf>
    <xf numFmtId="49" fontId="58" fillId="25" borderId="10" xfId="54" applyNumberFormat="1" applyFont="1" applyFill="1" applyBorder="1" applyAlignment="1">
      <alignment horizontal="center" vertical="center" wrapText="1"/>
    </xf>
    <xf numFmtId="49" fontId="58" fillId="26" borderId="10" xfId="54" applyNumberFormat="1" applyFont="1" applyFill="1" applyBorder="1" applyAlignment="1">
      <alignment horizontal="center" vertical="center" wrapText="1"/>
    </xf>
    <xf numFmtId="4" fontId="58" fillId="26" borderId="10" xfId="54" applyNumberFormat="1" applyFont="1" applyFill="1" applyBorder="1" applyAlignment="1">
      <alignment horizontal="center" vertical="center" wrapText="1"/>
    </xf>
    <xf numFmtId="49" fontId="60" fillId="26" borderId="10" xfId="29" applyNumberFormat="1" applyFill="1" applyBorder="1" applyAlignment="1">
      <alignment horizontal="center" vertical="center" wrapText="1"/>
    </xf>
    <xf numFmtId="0" fontId="58" fillId="27" borderId="0" xfId="54" applyFont="1" applyFill="1"/>
    <xf numFmtId="1" fontId="58" fillId="26" borderId="10" xfId="54" applyNumberFormat="1" applyFont="1" applyFill="1" applyBorder="1" applyAlignment="1">
      <alignment horizontal="center" vertical="center" wrapText="1"/>
    </xf>
    <xf numFmtId="0" fontId="49" fillId="26" borderId="10" xfId="54" applyFont="1" applyFill="1" applyBorder="1" applyAlignment="1">
      <alignment horizontal="center" vertical="center"/>
    </xf>
    <xf numFmtId="4" fontId="49" fillId="26" borderId="10" xfId="54" applyNumberFormat="1" applyFont="1" applyFill="1" applyBorder="1" applyAlignment="1">
      <alignment horizontal="center" vertical="center"/>
    </xf>
    <xf numFmtId="0" fontId="49" fillId="26" borderId="10" xfId="54" applyFont="1" applyFill="1" applyBorder="1" applyAlignment="1">
      <alignment horizontal="center" vertical="center" wrapText="1"/>
    </xf>
    <xf numFmtId="14" fontId="49" fillId="26" borderId="10" xfId="54" applyNumberFormat="1" applyFont="1" applyFill="1" applyBorder="1" applyAlignment="1">
      <alignment horizontal="center" vertical="center"/>
    </xf>
    <xf numFmtId="0" fontId="49" fillId="26" borderId="0" xfId="54" applyFont="1" applyFill="1" applyAlignment="1">
      <alignment horizontal="center" vertical="center"/>
    </xf>
    <xf numFmtId="0" fontId="49" fillId="26" borderId="10" xfId="54" applyFont="1" applyFill="1" applyBorder="1" applyAlignment="1">
      <alignment vertical="center" wrapText="1"/>
    </xf>
    <xf numFmtId="14" fontId="49" fillId="26" borderId="10" xfId="54" applyNumberFormat="1" applyFont="1" applyFill="1" applyBorder="1" applyAlignment="1">
      <alignment vertical="center" wrapText="1"/>
    </xf>
    <xf numFmtId="0" fontId="49" fillId="26" borderId="0" xfId="54" applyFont="1" applyFill="1" applyAlignment="1">
      <alignment vertical="center" wrapText="1"/>
    </xf>
    <xf numFmtId="0" fontId="10" fillId="26" borderId="0" xfId="44" applyFill="1" applyAlignment="1">
      <alignment vertical="center" wrapText="1"/>
    </xf>
    <xf numFmtId="49" fontId="58" fillId="26" borderId="11" xfId="54" applyNumberFormat="1" applyFont="1" applyFill="1" applyBorder="1" applyAlignment="1">
      <alignment horizontal="center" vertical="center" wrapText="1"/>
    </xf>
    <xf numFmtId="49" fontId="58" fillId="26" borderId="18" xfId="54" applyNumberFormat="1" applyFont="1" applyFill="1" applyBorder="1" applyAlignment="1">
      <alignment horizontal="center" vertical="center" wrapText="1"/>
    </xf>
    <xf numFmtId="49" fontId="58" fillId="26" borderId="17" xfId="54" applyNumberFormat="1" applyFont="1" applyFill="1" applyBorder="1" applyAlignment="1">
      <alignment horizontal="center" vertical="center" wrapText="1"/>
    </xf>
    <xf numFmtId="49" fontId="10" fillId="0" borderId="10" xfId="54" applyNumberFormat="1" applyFont="1" applyFill="1" applyBorder="1" applyAlignment="1">
      <alignment horizontal="center" vertical="center" wrapText="1"/>
    </xf>
    <xf numFmtId="49" fontId="58" fillId="26" borderId="10" xfId="54" applyNumberFormat="1" applyFont="1" applyFill="1" applyBorder="1" applyAlignment="1">
      <alignment horizontal="left" vertical="center" wrapText="1"/>
    </xf>
    <xf numFmtId="167" fontId="35" fillId="0" borderId="0" xfId="44" applyNumberFormat="1" applyFont="1" applyFill="1" applyAlignment="1">
      <alignment vertical="center" wrapText="1"/>
    </xf>
    <xf numFmtId="0" fontId="49" fillId="0" borderId="10" xfId="54" applyFont="1" applyFill="1" applyBorder="1" applyAlignment="1">
      <alignment horizontal="center" vertical="center" wrapText="1"/>
    </xf>
    <xf numFmtId="0" fontId="49" fillId="0" borderId="10" xfId="54" applyFont="1" applyFill="1" applyBorder="1"/>
    <xf numFmtId="2" fontId="10" fillId="25" borderId="10" xfId="38" applyNumberFormat="1" applyFont="1" applyFill="1" applyBorder="1" applyAlignment="1">
      <alignment horizontal="center" vertical="center" wrapText="1"/>
    </xf>
    <xf numFmtId="14" fontId="49" fillId="0" borderId="10" xfId="54" applyNumberFormat="1" applyFont="1" applyFill="1" applyBorder="1"/>
    <xf numFmtId="2" fontId="10" fillId="0" borderId="10" xfId="38" applyNumberFormat="1" applyFont="1" applyFill="1" applyBorder="1" applyAlignment="1">
      <alignment horizontal="center" vertical="center" wrapText="1"/>
    </xf>
    <xf numFmtId="2" fontId="35" fillId="0" borderId="19" xfId="44" applyNumberFormat="1" applyFont="1" applyFill="1" applyBorder="1" applyAlignment="1">
      <alignment horizontal="justify"/>
    </xf>
    <xf numFmtId="0" fontId="35" fillId="0" borderId="19" xfId="44" applyFont="1" applyFill="1" applyBorder="1" applyAlignment="1">
      <alignment horizontal="justify"/>
    </xf>
    <xf numFmtId="2" fontId="35" fillId="26" borderId="19" xfId="44" applyNumberFormat="1" applyFont="1" applyFill="1" applyBorder="1" applyAlignment="1">
      <alignment horizontal="justify" vertical="top" wrapText="1"/>
    </xf>
    <xf numFmtId="2" fontId="35" fillId="0" borderId="19" xfId="44" applyNumberFormat="1" applyFont="1" applyFill="1" applyBorder="1" applyAlignment="1">
      <alignment horizontal="justify" vertical="center" wrapText="1"/>
    </xf>
    <xf numFmtId="2" fontId="36" fillId="28" borderId="19" xfId="44" applyNumberFormat="1" applyFont="1" applyFill="1" applyBorder="1" applyAlignment="1">
      <alignment horizontal="justify" vertical="top" wrapText="1"/>
    </xf>
    <xf numFmtId="2" fontId="35" fillId="0" borderId="19" xfId="44" applyNumberFormat="1" applyFont="1" applyFill="1" applyBorder="1" applyAlignment="1">
      <alignment horizontal="justify" vertical="top" wrapText="1"/>
    </xf>
    <xf numFmtId="9" fontId="35" fillId="26" borderId="19" xfId="44" applyNumberFormat="1" applyFont="1" applyFill="1" applyBorder="1" applyAlignment="1">
      <alignment horizontal="justify" vertical="top" wrapText="1"/>
    </xf>
    <xf numFmtId="0" fontId="10" fillId="0" borderId="19" xfId="42" applyNumberFormat="1" applyFont="1" applyBorder="1" applyAlignment="1">
      <alignment horizontal="left" vertical="center" wrapText="1"/>
    </xf>
    <xf numFmtId="0" fontId="35" fillId="0" borderId="19" xfId="44" applyFont="1" applyFill="1" applyBorder="1" applyAlignment="1">
      <alignment horizontal="justify" vertical="center" wrapText="1"/>
    </xf>
    <xf numFmtId="0" fontId="36" fillId="0" borderId="19" xfId="44" applyFont="1" applyFill="1" applyBorder="1" applyAlignment="1">
      <alignment horizontal="justify" vertical="center" wrapText="1"/>
    </xf>
    <xf numFmtId="0" fontId="36" fillId="26" borderId="19" xfId="44" applyFont="1" applyFill="1" applyBorder="1" applyAlignment="1">
      <alignment horizontal="justify" vertical="center" wrapText="1"/>
    </xf>
    <xf numFmtId="0" fontId="35" fillId="0" borderId="19" xfId="44" applyFont="1" applyFill="1" applyBorder="1" applyAlignment="1">
      <alignment vertical="center" wrapText="1"/>
    </xf>
    <xf numFmtId="0" fontId="36" fillId="0" borderId="20" xfId="44" applyFont="1" applyFill="1" applyBorder="1" applyAlignment="1">
      <alignment horizontal="center" vertical="center" wrapText="1"/>
    </xf>
    <xf numFmtId="0" fontId="36" fillId="0" borderId="21" xfId="44" applyFont="1" applyFill="1" applyBorder="1" applyAlignment="1">
      <alignment horizontal="justify" vertical="center" wrapText="1"/>
    </xf>
    <xf numFmtId="0" fontId="36" fillId="0" borderId="21" xfId="44" applyFont="1" applyFill="1" applyBorder="1" applyAlignment="1">
      <alignment vertical="center" wrapText="1"/>
    </xf>
    <xf numFmtId="0" fontId="35" fillId="0" borderId="21" xfId="44" applyFont="1" applyFill="1" applyBorder="1" applyAlignment="1">
      <alignment horizontal="justify" vertical="center" wrapText="1"/>
    </xf>
    <xf numFmtId="0" fontId="36" fillId="26" borderId="21" xfId="44" applyFont="1" applyFill="1" applyBorder="1" applyAlignment="1">
      <alignment horizontal="justify" vertical="center" wrapText="1"/>
    </xf>
    <xf numFmtId="0" fontId="35" fillId="26" borderId="21" xfId="44" applyFont="1" applyFill="1" applyBorder="1" applyAlignment="1">
      <alignment horizontal="justify" vertical="center" wrapText="1"/>
    </xf>
    <xf numFmtId="0" fontId="35" fillId="0" borderId="21" xfId="44" applyFont="1" applyFill="1" applyBorder="1" applyAlignment="1">
      <alignment horizontal="justify" vertical="top" wrapText="1"/>
    </xf>
    <xf numFmtId="0" fontId="36" fillId="28" borderId="21" xfId="44" applyFont="1" applyFill="1" applyBorder="1" applyAlignment="1">
      <alignment vertical="top" wrapText="1"/>
    </xf>
    <xf numFmtId="0" fontId="36" fillId="0" borderId="21" xfId="44" applyFont="1" applyFill="1" applyBorder="1" applyAlignment="1">
      <alignment vertical="top" wrapText="1"/>
    </xf>
    <xf numFmtId="0" fontId="35" fillId="0" borderId="21" xfId="44" applyFont="1" applyFill="1" applyBorder="1" applyAlignment="1">
      <alignment vertical="center" wrapText="1"/>
    </xf>
    <xf numFmtId="0" fontId="36" fillId="0" borderId="21" xfId="44" applyFont="1" applyFill="1" applyBorder="1" applyAlignment="1">
      <alignment horizontal="left" vertical="center" wrapText="1"/>
    </xf>
    <xf numFmtId="0" fontId="36" fillId="0" borderId="21" xfId="44" applyFont="1" applyFill="1" applyBorder="1" applyAlignment="1">
      <alignment horizontal="center" vertical="center" wrapText="1"/>
    </xf>
    <xf numFmtId="0" fontId="35" fillId="0" borderId="22" xfId="44" applyFont="1" applyFill="1" applyBorder="1" applyAlignment="1">
      <alignment vertical="center" wrapText="1"/>
    </xf>
    <xf numFmtId="0" fontId="36" fillId="0" borderId="23" xfId="44" applyFont="1" applyFill="1" applyBorder="1" applyAlignment="1">
      <alignment horizontal="justify" vertical="center" wrapText="1"/>
    </xf>
    <xf numFmtId="2" fontId="35" fillId="26" borderId="19" xfId="44" applyNumberFormat="1" applyFont="1" applyFill="1" applyBorder="1" applyAlignment="1">
      <alignment horizontal="justify" vertical="center" wrapText="1"/>
    </xf>
    <xf numFmtId="1" fontId="35" fillId="26" borderId="19" xfId="44" applyNumberFormat="1" applyFont="1" applyFill="1" applyBorder="1" applyAlignment="1">
      <alignment horizontal="justify" vertical="center" wrapText="1"/>
    </xf>
    <xf numFmtId="9" fontId="35" fillId="26" borderId="19" xfId="65" applyFont="1" applyFill="1" applyBorder="1" applyAlignment="1">
      <alignment horizontal="justify" vertical="top" wrapText="1"/>
    </xf>
    <xf numFmtId="9" fontId="35" fillId="0" borderId="19" xfId="65" applyFont="1" applyFill="1" applyBorder="1" applyAlignment="1">
      <alignment horizontal="justify" vertical="center" wrapText="1"/>
    </xf>
    <xf numFmtId="10" fontId="35" fillId="0" borderId="19" xfId="65" applyNumberFormat="1" applyFont="1" applyFill="1" applyBorder="1" applyAlignment="1">
      <alignment horizontal="justify" vertical="center" wrapText="1"/>
    </xf>
    <xf numFmtId="0" fontId="36" fillId="26" borderId="19" xfId="44" applyFont="1" applyFill="1" applyBorder="1" applyAlignment="1">
      <alignment horizontal="justify" vertical="top" wrapText="1"/>
    </xf>
    <xf numFmtId="0" fontId="37" fillId="0" borderId="10" xfId="44" applyFont="1" applyFill="1" applyBorder="1" applyAlignment="1">
      <alignment horizontal="center" vertical="center" wrapText="1"/>
    </xf>
    <xf numFmtId="0" fontId="63" fillId="0" borderId="10" xfId="58" applyFont="1" applyFill="1" applyBorder="1" applyAlignment="1">
      <alignment horizontal="left" vertical="center" wrapText="1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textRotation="90" wrapText="1"/>
    </xf>
    <xf numFmtId="0" fontId="10" fillId="0" borderId="10" xfId="44" applyFont="1" applyFill="1" applyBorder="1" applyAlignment="1">
      <alignment horizontal="center" vertical="center" wrapText="1"/>
    </xf>
    <xf numFmtId="2" fontId="10" fillId="0" borderId="10" xfId="44" applyNumberFormat="1" applyFont="1" applyFill="1" applyBorder="1" applyAlignment="1">
      <alignment horizontal="center" vertical="center" wrapText="1"/>
    </xf>
    <xf numFmtId="1" fontId="10" fillId="0" borderId="10" xfId="44" applyNumberFormat="1" applyFont="1" applyFill="1" applyBorder="1" applyAlignment="1">
      <alignment horizontal="center" vertical="center" wrapText="1"/>
    </xf>
    <xf numFmtId="0" fontId="6" fillId="0" borderId="10" xfId="50" applyFont="1" applyFill="1" applyBorder="1" applyAlignment="1">
      <alignment horizontal="left" vertical="center" wrapText="1"/>
    </xf>
    <xf numFmtId="0" fontId="34" fillId="0" borderId="10" xfId="50" applyFont="1" applyFill="1" applyBorder="1" applyAlignment="1">
      <alignment horizontal="left" vertical="center" wrapText="1"/>
    </xf>
    <xf numFmtId="0" fontId="6" fillId="0" borderId="12" xfId="50" applyFont="1" applyFill="1" applyBorder="1" applyAlignment="1">
      <alignment horizontal="left" vertical="center" wrapText="1"/>
    </xf>
    <xf numFmtId="0" fontId="35" fillId="0" borderId="10" xfId="44" applyFont="1" applyFill="1" applyBorder="1" applyAlignment="1">
      <alignment horizontal="justify"/>
    </xf>
    <xf numFmtId="2" fontId="35" fillId="0" borderId="10" xfId="44" applyNumberFormat="1" applyFont="1" applyFill="1" applyBorder="1" applyAlignment="1">
      <alignment horizontal="justify"/>
    </xf>
    <xf numFmtId="49" fontId="6" fillId="0" borderId="11" xfId="58" applyNumberFormat="1" applyFont="1" applyFill="1" applyBorder="1" applyAlignment="1">
      <alignment horizontal="center" vertical="center"/>
    </xf>
    <xf numFmtId="49" fontId="6" fillId="0" borderId="18" xfId="58" applyNumberFormat="1" applyFont="1" applyFill="1" applyBorder="1" applyAlignment="1">
      <alignment horizontal="center" vertical="center"/>
    </xf>
    <xf numFmtId="49" fontId="6" fillId="0" borderId="17" xfId="58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8" applyFont="1" applyAlignment="1">
      <alignment horizontal="center" vertical="center"/>
    </xf>
    <xf numFmtId="0" fontId="7" fillId="0" borderId="0" xfId="58" applyFont="1" applyAlignment="1">
      <alignment horizontal="center" vertical="center" wrapText="1"/>
    </xf>
    <xf numFmtId="0" fontId="7" fillId="0" borderId="0" xfId="58" applyFont="1" applyAlignment="1">
      <alignment horizontal="center" vertical="center"/>
    </xf>
    <xf numFmtId="0" fontId="4" fillId="0" borderId="0" xfId="58" applyFont="1" applyAlignment="1">
      <alignment horizontal="center" vertical="center"/>
    </xf>
    <xf numFmtId="0" fontId="45" fillId="0" borderId="0" xfId="58" applyFont="1" applyAlignment="1">
      <alignment horizontal="center" vertical="center"/>
    </xf>
    <xf numFmtId="0" fontId="45" fillId="0" borderId="0" xfId="58" applyFont="1" applyFill="1" applyAlignment="1">
      <alignment horizontal="center" vertical="center" wrapText="1"/>
    </xf>
    <xf numFmtId="0" fontId="45" fillId="0" borderId="0" xfId="58" applyFont="1" applyFill="1" applyAlignment="1">
      <alignment horizontal="center" vertical="center"/>
    </xf>
    <xf numFmtId="0" fontId="3" fillId="0" borderId="0" xfId="58" applyFont="1" applyFill="1" applyBorder="1" applyAlignment="1">
      <alignment horizontal="center" vertical="center"/>
    </xf>
    <xf numFmtId="0" fontId="34" fillId="0" borderId="10" xfId="58" applyFont="1" applyBorder="1" applyAlignment="1">
      <alignment horizontal="center" vertical="center" wrapText="1"/>
    </xf>
    <xf numFmtId="0" fontId="4" fillId="0" borderId="10" xfId="58" applyFont="1" applyBorder="1" applyAlignment="1">
      <alignment horizontal="center" vertical="center" wrapText="1"/>
    </xf>
    <xf numFmtId="0" fontId="3" fillId="0" borderId="0" xfId="58" applyFont="1" applyFill="1" applyAlignment="1">
      <alignment horizontal="center" vertical="center"/>
    </xf>
    <xf numFmtId="0" fontId="6" fillId="0" borderId="24" xfId="58" applyFont="1" applyBorder="1" applyAlignment="1">
      <alignment vertical="center"/>
    </xf>
    <xf numFmtId="0" fontId="34" fillId="0" borderId="14" xfId="58" applyFont="1" applyBorder="1" applyAlignment="1">
      <alignment horizontal="center" vertical="center" wrapText="1"/>
    </xf>
    <xf numFmtId="0" fontId="34" fillId="0" borderId="12" xfId="58" applyFont="1" applyBorder="1" applyAlignment="1">
      <alignment horizontal="center" vertical="center" wrapText="1"/>
    </xf>
    <xf numFmtId="0" fontId="57" fillId="0" borderId="14" xfId="42" applyFont="1" applyFill="1" applyBorder="1" applyAlignment="1">
      <alignment horizontal="center" vertical="center" wrapText="1"/>
    </xf>
    <xf numFmtId="0" fontId="57" fillId="0" borderId="12" xfId="42" applyFont="1" applyFill="1" applyBorder="1" applyAlignment="1">
      <alignment horizontal="center" vertical="center" wrapText="1"/>
    </xf>
    <xf numFmtId="0" fontId="3" fillId="0" borderId="0" xfId="58" applyFont="1" applyAlignment="1">
      <alignment horizontal="center" vertical="center"/>
    </xf>
    <xf numFmtId="0" fontId="57" fillId="0" borderId="25" xfId="42" applyFont="1" applyFill="1" applyBorder="1" applyAlignment="1">
      <alignment horizontal="center" vertical="center" wrapText="1"/>
    </xf>
    <xf numFmtId="0" fontId="57" fillId="0" borderId="26" xfId="42" applyFont="1" applyFill="1" applyBorder="1" applyAlignment="1">
      <alignment horizontal="center" vertical="center" wrapText="1"/>
    </xf>
    <xf numFmtId="0" fontId="57" fillId="0" borderId="27" xfId="42" applyFont="1" applyFill="1" applyBorder="1" applyAlignment="1">
      <alignment horizontal="center" vertical="center" wrapText="1"/>
    </xf>
    <xf numFmtId="0" fontId="57" fillId="0" borderId="28" xfId="42" applyFont="1" applyFill="1" applyBorder="1" applyAlignment="1">
      <alignment horizontal="center" vertical="center" wrapText="1"/>
    </xf>
    <xf numFmtId="0" fontId="57" fillId="0" borderId="13" xfId="42" applyFont="1" applyFill="1" applyBorder="1" applyAlignment="1">
      <alignment horizontal="center" vertical="center" wrapText="1"/>
    </xf>
    <xf numFmtId="0" fontId="45" fillId="0" borderId="0" xfId="58" applyFont="1" applyAlignment="1">
      <alignment horizontal="center" vertical="center" wrapText="1"/>
    </xf>
    <xf numFmtId="0" fontId="57" fillId="0" borderId="11" xfId="42" applyFont="1" applyBorder="1" applyAlignment="1">
      <alignment horizontal="center" vertical="center" wrapText="1"/>
    </xf>
    <xf numFmtId="0" fontId="57" fillId="0" borderId="17" xfId="42" applyFont="1" applyBorder="1" applyAlignment="1">
      <alignment horizontal="center" vertical="center" wrapText="1"/>
    </xf>
    <xf numFmtId="0" fontId="57" fillId="0" borderId="18" xfId="42" applyFont="1" applyBorder="1" applyAlignment="1">
      <alignment horizontal="center" vertical="center" wrapText="1"/>
    </xf>
    <xf numFmtId="0" fontId="57" fillId="0" borderId="14" xfId="42" applyFont="1" applyBorder="1" applyAlignment="1">
      <alignment horizontal="center" vertical="center"/>
    </xf>
    <xf numFmtId="0" fontId="57" fillId="0" borderId="13" xfId="42" applyFont="1" applyBorder="1" applyAlignment="1">
      <alignment horizontal="center" vertical="center"/>
    </xf>
    <xf numFmtId="0" fontId="57" fillId="0" borderId="12" xfId="42" applyFont="1" applyBorder="1" applyAlignment="1">
      <alignment horizontal="center" vertical="center"/>
    </xf>
    <xf numFmtId="0" fontId="10" fillId="0" borderId="24" xfId="42" applyFont="1" applyBorder="1" applyAlignment="1">
      <alignment horizontal="left" vertical="center"/>
    </xf>
    <xf numFmtId="0" fontId="37" fillId="0" borderId="14" xfId="42" applyFont="1" applyBorder="1" applyAlignment="1">
      <alignment horizontal="center" vertical="center" wrapText="1"/>
    </xf>
    <xf numFmtId="0" fontId="37" fillId="0" borderId="13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25" xfId="42" applyFont="1" applyBorder="1" applyAlignment="1">
      <alignment horizontal="center" vertical="center" wrapText="1"/>
    </xf>
    <xf numFmtId="0" fontId="37" fillId="0" borderId="26" xfId="42" applyFont="1" applyBorder="1" applyAlignment="1">
      <alignment horizontal="center" vertical="center" wrapText="1"/>
    </xf>
    <xf numFmtId="0" fontId="37" fillId="0" borderId="27" xfId="42" applyFont="1" applyBorder="1" applyAlignment="1">
      <alignment horizontal="center" vertical="center" wrapText="1"/>
    </xf>
    <xf numFmtId="0" fontId="37" fillId="0" borderId="28" xfId="42" applyFont="1" applyBorder="1" applyAlignment="1">
      <alignment horizontal="center" vertical="center" wrapText="1"/>
    </xf>
    <xf numFmtId="0" fontId="37" fillId="0" borderId="11" xfId="42" applyFont="1" applyBorder="1" applyAlignment="1">
      <alignment horizontal="center" vertical="center" wrapText="1"/>
    </xf>
    <xf numFmtId="0" fontId="37" fillId="0" borderId="18" xfId="42" applyFont="1" applyBorder="1" applyAlignment="1">
      <alignment horizontal="center" vertical="center" wrapText="1"/>
    </xf>
    <xf numFmtId="0" fontId="37" fillId="0" borderId="17" xfId="42" applyFont="1" applyBorder="1" applyAlignment="1">
      <alignment horizontal="center" vertical="center" wrapText="1"/>
    </xf>
    <xf numFmtId="0" fontId="56" fillId="0" borderId="0" xfId="58" applyFont="1" applyAlignment="1">
      <alignment horizontal="center" vertical="center" wrapText="1"/>
    </xf>
    <xf numFmtId="0" fontId="49" fillId="0" borderId="0" xfId="55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9" fillId="0" borderId="0" xfId="55" applyFont="1" applyAlignment="1">
      <alignment horizontal="center"/>
    </xf>
    <xf numFmtId="0" fontId="48" fillId="0" borderId="0" xfId="55" applyFont="1" applyFill="1" applyAlignment="1">
      <alignment horizontal="center"/>
    </xf>
    <xf numFmtId="0" fontId="34" fillId="0" borderId="11" xfId="58" applyFont="1" applyBorder="1" applyAlignment="1">
      <alignment horizontal="center" vertical="center" wrapText="1"/>
    </xf>
    <xf numFmtId="0" fontId="34" fillId="0" borderId="18" xfId="58" applyFont="1" applyBorder="1" applyAlignment="1">
      <alignment horizontal="center" vertical="center" wrapText="1"/>
    </xf>
    <xf numFmtId="0" fontId="34" fillId="0" borderId="17" xfId="58" applyFont="1" applyBorder="1" applyAlignment="1">
      <alignment horizontal="center" vertical="center" wrapText="1"/>
    </xf>
    <xf numFmtId="0" fontId="4" fillId="0" borderId="24" xfId="58" applyFont="1" applyBorder="1" applyAlignment="1">
      <alignment horizontal="center" vertical="center" wrapText="1"/>
    </xf>
    <xf numFmtId="0" fontId="34" fillId="25" borderId="29" xfId="44" applyFont="1" applyFill="1" applyBorder="1" applyAlignment="1">
      <alignment horizontal="center" vertical="center" wrapText="1"/>
    </xf>
    <xf numFmtId="0" fontId="34" fillId="25" borderId="10" xfId="44" applyFont="1" applyFill="1" applyBorder="1" applyAlignment="1">
      <alignment horizontal="center" vertical="center" wrapText="1"/>
    </xf>
    <xf numFmtId="0" fontId="34" fillId="25" borderId="30" xfId="44" applyFont="1" applyFill="1" applyBorder="1" applyAlignment="1">
      <alignment horizontal="center" vertical="center" wrapText="1"/>
    </xf>
    <xf numFmtId="0" fontId="6" fillId="0" borderId="0" xfId="58" applyFont="1" applyFill="1" applyAlignment="1">
      <alignment horizontal="center" vertical="center"/>
    </xf>
    <xf numFmtId="0" fontId="7" fillId="0" borderId="0" xfId="58" applyFont="1" applyFill="1" applyAlignment="1">
      <alignment horizontal="center" vertical="center"/>
    </xf>
    <xf numFmtId="0" fontId="34" fillId="25" borderId="31" xfId="44" applyFont="1" applyFill="1" applyBorder="1" applyAlignment="1">
      <alignment horizontal="center" vertical="center" wrapText="1"/>
    </xf>
    <xf numFmtId="0" fontId="34" fillId="25" borderId="32" xfId="44" applyFont="1" applyFill="1" applyBorder="1" applyAlignment="1">
      <alignment horizontal="center" vertical="center" wrapText="1"/>
    </xf>
    <xf numFmtId="0" fontId="34" fillId="25" borderId="33" xfId="44" applyFont="1" applyFill="1" applyBorder="1" applyAlignment="1">
      <alignment horizontal="center" vertical="center" wrapText="1"/>
    </xf>
    <xf numFmtId="0" fontId="4" fillId="0" borderId="0" xfId="58" applyFont="1" applyFill="1" applyAlignment="1">
      <alignment horizontal="center" vertical="center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2" xfId="44" applyFont="1" applyFill="1" applyBorder="1" applyAlignment="1">
      <alignment horizontal="center" vertical="center" wrapText="1"/>
    </xf>
    <xf numFmtId="0" fontId="37" fillId="0" borderId="10" xfId="44" applyNumberFormat="1" applyFont="1" applyFill="1" applyBorder="1" applyAlignment="1">
      <alignment horizontal="center" vertical="center" wrapText="1"/>
    </xf>
    <xf numFmtId="0" fontId="37" fillId="0" borderId="14" xfId="44" applyNumberFormat="1" applyFont="1" applyFill="1" applyBorder="1" applyAlignment="1">
      <alignment horizontal="center" vertical="center" wrapText="1"/>
    </xf>
    <xf numFmtId="0" fontId="37" fillId="0" borderId="13" xfId="44" applyNumberFormat="1" applyFont="1" applyFill="1" applyBorder="1" applyAlignment="1">
      <alignment horizontal="center" vertical="center" wrapText="1"/>
    </xf>
    <xf numFmtId="0" fontId="37" fillId="0" borderId="12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 wrapText="1"/>
    </xf>
    <xf numFmtId="0" fontId="37" fillId="0" borderId="27" xfId="44" applyFont="1" applyFill="1" applyBorder="1" applyAlignment="1">
      <alignment horizontal="center" vertical="center" wrapText="1"/>
    </xf>
    <xf numFmtId="0" fontId="37" fillId="0" borderId="28" xfId="44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 vertical="top" wrapText="1"/>
    </xf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 applyAlignment="1">
      <alignment horizontal="left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/>
    </xf>
    <xf numFmtId="0" fontId="10" fillId="0" borderId="12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wrapText="1"/>
    </xf>
    <xf numFmtId="0" fontId="37" fillId="0" borderId="0" xfId="44" applyFont="1" applyFill="1" applyAlignment="1">
      <alignment horizontal="center"/>
    </xf>
    <xf numFmtId="0" fontId="10" fillId="0" borderId="0" xfId="44" applyFont="1" applyFill="1" applyAlignment="1">
      <alignment horizontal="center"/>
    </xf>
    <xf numFmtId="0" fontId="37" fillId="0" borderId="14" xfId="44" applyFont="1" applyFill="1" applyBorder="1" applyAlignment="1">
      <alignment horizontal="center" vertical="center" wrapText="1"/>
    </xf>
    <xf numFmtId="0" fontId="37" fillId="0" borderId="13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/>
    </xf>
    <xf numFmtId="0" fontId="10" fillId="0" borderId="10" xfId="61" applyFont="1" applyFill="1" applyBorder="1" applyAlignment="1">
      <alignment horizontal="center" vertical="center"/>
    </xf>
    <xf numFmtId="0" fontId="49" fillId="0" borderId="11" xfId="54" applyFont="1" applyFill="1" applyBorder="1" applyAlignment="1">
      <alignment horizontal="center" vertical="center" wrapText="1"/>
    </xf>
    <xf numFmtId="0" fontId="49" fillId="0" borderId="18" xfId="54" applyFont="1" applyFill="1" applyBorder="1" applyAlignment="1">
      <alignment horizontal="center" vertical="center" wrapText="1"/>
    </xf>
    <xf numFmtId="0" fontId="49" fillId="0" borderId="17" xfId="54" applyFont="1" applyFill="1" applyBorder="1" applyAlignment="1">
      <alignment horizontal="center" vertical="center" wrapText="1"/>
    </xf>
    <xf numFmtId="49" fontId="10" fillId="0" borderId="11" xfId="54" applyNumberFormat="1" applyFont="1" applyFill="1" applyBorder="1" applyAlignment="1">
      <alignment horizontal="center" vertical="center" wrapText="1"/>
    </xf>
    <xf numFmtId="49" fontId="10" fillId="0" borderId="18" xfId="54" applyNumberFormat="1" applyFont="1" applyFill="1" applyBorder="1" applyAlignment="1">
      <alignment horizontal="center" vertical="center" wrapText="1"/>
    </xf>
    <xf numFmtId="49" fontId="10" fillId="0" borderId="17" xfId="54" applyNumberFormat="1" applyFont="1" applyFill="1" applyBorder="1" applyAlignment="1">
      <alignment horizontal="center" vertical="center" wrapText="1"/>
    </xf>
    <xf numFmtId="49" fontId="58" fillId="26" borderId="11" xfId="54" applyNumberFormat="1" applyFont="1" applyFill="1" applyBorder="1" applyAlignment="1">
      <alignment horizontal="center" vertical="center" wrapText="1"/>
    </xf>
    <xf numFmtId="49" fontId="58" fillId="26" borderId="18" xfId="54" applyNumberFormat="1" applyFont="1" applyFill="1" applyBorder="1" applyAlignment="1">
      <alignment horizontal="center" vertical="center" wrapText="1"/>
    </xf>
    <xf numFmtId="49" fontId="58" fillId="26" borderId="17" xfId="54" applyNumberFormat="1" applyFont="1" applyFill="1" applyBorder="1" applyAlignment="1">
      <alignment horizontal="center" vertical="center" wrapText="1"/>
    </xf>
    <xf numFmtId="0" fontId="49" fillId="26" borderId="11" xfId="54" applyFont="1" applyFill="1" applyBorder="1" applyAlignment="1">
      <alignment horizontal="center" vertical="center" wrapText="1"/>
    </xf>
    <xf numFmtId="0" fontId="49" fillId="26" borderId="18" xfId="54" applyFont="1" applyFill="1" applyBorder="1" applyAlignment="1">
      <alignment horizontal="center" vertical="center" wrapText="1"/>
    </xf>
    <xf numFmtId="0" fontId="49" fillId="26" borderId="17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48" fillId="0" borderId="10" xfId="54" applyFont="1" applyFill="1" applyBorder="1" applyAlignment="1">
      <alignment horizontal="center" vertical="center" wrapText="1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0" fontId="49" fillId="25" borderId="0" xfId="54" applyFont="1" applyFill="1" applyAlignment="1">
      <alignment horizontal="center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0" fontId="48" fillId="25" borderId="24" xfId="54" applyFont="1" applyFill="1" applyBorder="1" applyAlignment="1">
      <alignment horizontal="center"/>
    </xf>
    <xf numFmtId="0" fontId="34" fillId="0" borderId="25" xfId="54" applyFont="1" applyFill="1" applyBorder="1" applyAlignment="1">
      <alignment horizontal="center" vertical="center" wrapText="1"/>
    </xf>
    <xf numFmtId="0" fontId="34" fillId="0" borderId="34" xfId="54" applyFont="1" applyFill="1" applyBorder="1" applyAlignment="1">
      <alignment horizontal="center" vertical="center" wrapText="1"/>
    </xf>
    <xf numFmtId="0" fontId="34" fillId="0" borderId="27" xfId="54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4" fillId="25" borderId="0" xfId="58" applyFont="1" applyFill="1" applyAlignment="1">
      <alignment horizontal="center" vertical="center"/>
    </xf>
    <xf numFmtId="0" fontId="45" fillId="25" borderId="0" xfId="58" applyFont="1" applyFill="1" applyAlignment="1">
      <alignment horizontal="center" vertical="center"/>
    </xf>
    <xf numFmtId="0" fontId="6" fillId="25" borderId="0" xfId="58" applyFont="1" applyFill="1" applyAlignment="1">
      <alignment horizontal="center" vertical="center"/>
    </xf>
    <xf numFmtId="0" fontId="3" fillId="25" borderId="0" xfId="58" applyFont="1" applyFill="1" applyBorder="1" applyAlignment="1">
      <alignment horizontal="center" vertical="center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34" fillId="0" borderId="14" xfId="50" applyFont="1" applyFill="1" applyBorder="1" applyAlignment="1">
      <alignment horizontal="center" vertical="center" textRotation="90" wrapText="1"/>
    </xf>
    <xf numFmtId="0" fontId="34" fillId="0" borderId="12" xfId="50" applyFont="1" applyFill="1" applyBorder="1" applyAlignment="1">
      <alignment horizontal="center" vertical="center" textRotation="90" wrapText="1"/>
    </xf>
    <xf numFmtId="0" fontId="37" fillId="0" borderId="14" xfId="44" applyFont="1" applyFill="1" applyBorder="1" applyAlignment="1">
      <alignment horizontal="center" vertical="center" textRotation="90" wrapText="1"/>
    </xf>
    <xf numFmtId="0" fontId="37" fillId="0" borderId="12" xfId="44" applyFont="1" applyFill="1" applyBorder="1" applyAlignment="1">
      <alignment horizontal="center" vertical="center" textRotation="90" wrapText="1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18" xfId="54" applyFont="1" applyFill="1" applyBorder="1" applyAlignment="1">
      <alignment horizontal="center" vertical="center" wrapText="1"/>
    </xf>
    <xf numFmtId="0" fontId="34" fillId="0" borderId="17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0" fontId="42" fillId="0" borderId="0" xfId="44" applyFont="1" applyFill="1" applyAlignment="1">
      <alignment horizontal="center"/>
    </xf>
    <xf numFmtId="0" fontId="35" fillId="0" borderId="19" xfId="44" applyFont="1" applyFill="1" applyBorder="1" applyAlignment="1">
      <alignment horizontal="left" vertical="center" wrapText="1"/>
    </xf>
    <xf numFmtId="0" fontId="35" fillId="0" borderId="35" xfId="44" applyFont="1" applyFill="1" applyBorder="1" applyAlignment="1">
      <alignment horizontal="left" vertical="center" wrapText="1"/>
    </xf>
    <xf numFmtId="0" fontId="36" fillId="0" borderId="0" xfId="44" applyFont="1" applyFill="1" applyAlignment="1">
      <alignment horizontal="center" wrapText="1"/>
    </xf>
    <xf numFmtId="0" fontId="36" fillId="0" borderId="0" xfId="44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2 2" xfId="40"/>
    <cellStyle name="Обычный 2" xfId="41"/>
    <cellStyle name="Обычный 2 2" xfId="42"/>
    <cellStyle name="Обычный 2_Xl0000845" xfId="43"/>
    <cellStyle name="Обычный 3" xfId="44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6 2 3_Паспорт инвестроекта для Оли замечания" xfId="55"/>
    <cellStyle name="Обычный 6 2_Xl0000845" xfId="56"/>
    <cellStyle name="Обычный 6_Xl0000845" xfId="57"/>
    <cellStyle name="Обычный 7" xfId="58"/>
    <cellStyle name="Обычный 7 2" xfId="59"/>
    <cellStyle name="Обычный 8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b2b-mrsk.ru/" TargetMode="External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tabSelected="1"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53" t="s">
        <v>535</v>
      </c>
      <c r="B5" s="253"/>
      <c r="C5" s="253"/>
      <c r="D5" s="83"/>
      <c r="E5" s="83"/>
      <c r="F5" s="83"/>
      <c r="G5" s="83"/>
      <c r="H5" s="83"/>
      <c r="I5" s="83"/>
      <c r="J5" s="83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57" t="s">
        <v>5</v>
      </c>
      <c r="B7" s="257"/>
      <c r="C7" s="25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58" t="s">
        <v>281</v>
      </c>
      <c r="B9" s="258"/>
      <c r="C9" s="25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54" t="s">
        <v>4</v>
      </c>
      <c r="B10" s="254"/>
      <c r="C10" s="25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58" t="s">
        <v>442</v>
      </c>
      <c r="B12" s="258"/>
      <c r="C12" s="258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54" t="s">
        <v>3</v>
      </c>
      <c r="B13" s="254"/>
      <c r="C13" s="254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59" t="str">
        <f>VLOOKUP(A12,'[1]6.2. отчет'!$A:$C,3,0)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260"/>
      <c r="C15" s="26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54" t="s">
        <v>2</v>
      </c>
      <c r="B16" s="254"/>
      <c r="C16" s="25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55" t="s">
        <v>269</v>
      </c>
      <c r="B18" s="256"/>
      <c r="C18" s="25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69" customHeight="1" x14ac:dyDescent="0.2">
      <c r="A22" s="18" t="s">
        <v>18</v>
      </c>
      <c r="B22" s="35" t="s">
        <v>155</v>
      </c>
      <c r="C22" s="82" t="s">
        <v>452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51" customHeight="1" x14ac:dyDescent="0.2">
      <c r="A23" s="18" t="s">
        <v>17</v>
      </c>
      <c r="B23" s="30" t="s">
        <v>292</v>
      </c>
      <c r="C23" s="86" t="s">
        <v>453</v>
      </c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5"/>
      <c r="S23" s="22"/>
      <c r="T23" s="21"/>
      <c r="U23" s="21"/>
      <c r="V23" s="21"/>
    </row>
    <row r="24" spans="1:22" s="2" customFormat="1" ht="22.5" customHeight="1" x14ac:dyDescent="0.2">
      <c r="A24" s="250"/>
      <c r="B24" s="251"/>
      <c r="C24" s="252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2" t="s">
        <v>232</v>
      </c>
      <c r="C25" s="29" t="s">
        <v>293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2" t="s">
        <v>28</v>
      </c>
      <c r="C26" s="29" t="s">
        <v>277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2" t="s">
        <v>27</v>
      </c>
      <c r="C27" s="29" t="s">
        <v>454</v>
      </c>
      <c r="D27" s="28"/>
      <c r="E27" s="28"/>
      <c r="F27" s="149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2" t="s">
        <v>233</v>
      </c>
      <c r="C28" s="29" t="s">
        <v>455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2" t="s">
        <v>234</v>
      </c>
      <c r="C29" s="29" t="s">
        <v>278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2" t="s">
        <v>235</v>
      </c>
      <c r="C30" s="29" t="s">
        <v>456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455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455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238</v>
      </c>
      <c r="C33" s="34" t="s">
        <v>457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247</v>
      </c>
      <c r="B34" s="34" t="s">
        <v>239</v>
      </c>
      <c r="C34" s="19" t="s">
        <v>278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278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456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456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456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50"/>
      <c r="B39" s="251"/>
      <c r="C39" s="252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66" t="s">
        <v>458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06" t="s">
        <v>250</v>
      </c>
      <c r="B41" s="82" t="s">
        <v>294</v>
      </c>
      <c r="C41" s="107" t="s">
        <v>278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06" t="s">
        <v>245</v>
      </c>
      <c r="B42" s="82" t="s">
        <v>295</v>
      </c>
      <c r="C42" s="108" t="s">
        <v>459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06" t="s">
        <v>252</v>
      </c>
      <c r="B43" s="82" t="s">
        <v>296</v>
      </c>
      <c r="C43" s="107" t="s">
        <v>278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06" t="s">
        <v>246</v>
      </c>
      <c r="B44" s="82" t="s">
        <v>297</v>
      </c>
      <c r="C44" s="109" t="s">
        <v>278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06" t="s">
        <v>298</v>
      </c>
      <c r="B45" s="82" t="s">
        <v>299</v>
      </c>
      <c r="C45" s="109" t="s">
        <v>278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06" t="s">
        <v>301</v>
      </c>
      <c r="B46" s="82" t="s">
        <v>270</v>
      </c>
      <c r="C46" s="109" t="s">
        <v>460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302</v>
      </c>
      <c r="B47" s="34" t="s">
        <v>274</v>
      </c>
      <c r="C47" s="140">
        <f>'6.2. Паспорт фин осв ввод'!D24</f>
        <v>81.999148329999997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303</v>
      </c>
      <c r="B48" s="34" t="s">
        <v>275</v>
      </c>
      <c r="C48" s="141">
        <f>'6.2. Паспорт фин осв ввод'!D30</f>
        <v>70.163026860000002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60" zoomScaleNormal="60" workbookViewId="0">
      <selection activeCell="P39" sqref="P39"/>
    </sheetView>
  </sheetViews>
  <sheetFormatPr defaultRowHeight="15.75" x14ac:dyDescent="0.25"/>
  <cols>
    <col min="1" max="1" width="9.140625" style="48"/>
    <col min="2" max="2" width="57.85546875" style="48" customWidth="1"/>
    <col min="3" max="3" width="13.7109375" style="48" customWidth="1"/>
    <col min="4" max="4" width="13.140625" style="48" customWidth="1"/>
    <col min="5" max="5" width="19.7109375" style="48" customWidth="1"/>
    <col min="6" max="6" width="18.42578125" style="48" customWidth="1"/>
    <col min="7" max="7" width="12.85546875" style="49" customWidth="1"/>
    <col min="8" max="8" width="8.5703125" style="49" customWidth="1"/>
    <col min="9" max="9" width="6.7109375" style="49" customWidth="1"/>
    <col min="10" max="10" width="9.85546875" style="49" customWidth="1"/>
    <col min="11" max="11" width="9.28515625" style="49" customWidth="1"/>
    <col min="12" max="16384" width="9.140625" style="48"/>
  </cols>
  <sheetData>
    <row r="1" spans="1:11" x14ac:dyDescent="0.25">
      <c r="A1" s="49"/>
      <c r="B1" s="49"/>
      <c r="C1" s="49"/>
      <c r="D1" s="49"/>
      <c r="E1" s="49"/>
      <c r="F1" s="49"/>
    </row>
    <row r="2" spans="1:11" x14ac:dyDescent="0.25">
      <c r="A2" s="49"/>
      <c r="B2" s="49"/>
      <c r="C2" s="49"/>
      <c r="D2" s="49"/>
      <c r="E2" s="49"/>
      <c r="F2" s="49"/>
    </row>
    <row r="3" spans="1:11" x14ac:dyDescent="0.25">
      <c r="A3" s="49"/>
      <c r="B3" s="49"/>
      <c r="C3" s="49"/>
      <c r="D3" s="49"/>
      <c r="E3" s="49"/>
      <c r="F3" s="49"/>
    </row>
    <row r="4" spans="1:11" ht="18.75" customHeight="1" x14ac:dyDescent="0.25">
      <c r="A4" s="253" t="str">
        <f>'8. Общие сведения'!$A$5</f>
        <v>Год раскрытия информации: 2019 год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</row>
    <row r="5" spans="1:11" x14ac:dyDescent="0.25">
      <c r="A5" s="49"/>
      <c r="B5" s="49"/>
      <c r="C5" s="49"/>
      <c r="D5" s="49"/>
      <c r="E5" s="49"/>
      <c r="F5" s="49"/>
    </row>
    <row r="6" spans="1:11" ht="18.75" x14ac:dyDescent="0.25">
      <c r="A6" s="257" t="s">
        <v>5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4"/>
      <c r="K7" s="64"/>
    </row>
    <row r="8" spans="1:11" x14ac:dyDescent="0.25">
      <c r="A8" s="258" t="s">
        <v>281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</row>
    <row r="9" spans="1:11" ht="18.75" customHeight="1" x14ac:dyDescent="0.25">
      <c r="A9" s="254" t="s">
        <v>4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4"/>
      <c r="K10" s="64"/>
    </row>
    <row r="11" spans="1:11" x14ac:dyDescent="0.25">
      <c r="A11" s="258" t="str">
        <f>'1. паспорт местоположение'!$A$12</f>
        <v>I_Che149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</row>
    <row r="12" spans="1:11" x14ac:dyDescent="0.25">
      <c r="A12" s="254" t="s">
        <v>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3"/>
      <c r="K13" s="63"/>
    </row>
    <row r="14" spans="1:11" ht="81.75" customHeight="1" x14ac:dyDescent="0.25">
      <c r="A14" s="294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4" s="294"/>
      <c r="C14" s="294"/>
      <c r="D14" s="294"/>
      <c r="E14" s="294"/>
      <c r="F14" s="294"/>
      <c r="G14" s="294"/>
      <c r="H14" s="294"/>
      <c r="I14" s="294"/>
      <c r="J14" s="294"/>
      <c r="K14" s="294"/>
    </row>
    <row r="15" spans="1:11" ht="15.75" customHeight="1" x14ac:dyDescent="0.25">
      <c r="A15" s="254" t="s">
        <v>2</v>
      </c>
      <c r="B15" s="254"/>
      <c r="C15" s="254"/>
      <c r="D15" s="254"/>
      <c r="E15" s="254"/>
      <c r="F15" s="254"/>
      <c r="G15" s="254"/>
      <c r="H15" s="254"/>
      <c r="I15" s="254"/>
      <c r="J15" s="254"/>
      <c r="K15" s="254"/>
    </row>
    <row r="16" spans="1:11" x14ac:dyDescent="0.25">
      <c r="A16" s="335"/>
      <c r="B16" s="335"/>
      <c r="C16" s="335"/>
      <c r="D16" s="335"/>
      <c r="E16" s="335"/>
      <c r="F16" s="335"/>
      <c r="G16" s="335"/>
      <c r="H16" s="335"/>
      <c r="I16" s="335"/>
      <c r="J16" s="335"/>
      <c r="K16" s="335"/>
    </row>
    <row r="17" spans="1:11" x14ac:dyDescent="0.25">
      <c r="A17" s="49"/>
    </row>
    <row r="18" spans="1:11" x14ac:dyDescent="0.25">
      <c r="A18" s="334" t="s">
        <v>258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</row>
    <row r="19" spans="1:11" x14ac:dyDescent="0.25">
      <c r="A19" s="49"/>
      <c r="B19" s="49"/>
      <c r="C19" s="49"/>
      <c r="D19" s="49"/>
      <c r="E19" s="49"/>
      <c r="F19" s="49"/>
    </row>
    <row r="20" spans="1:11" ht="29.25" customHeight="1" x14ac:dyDescent="0.25">
      <c r="A20" s="336" t="s">
        <v>107</v>
      </c>
      <c r="B20" s="336" t="s">
        <v>106</v>
      </c>
      <c r="C20" s="333" t="s">
        <v>105</v>
      </c>
      <c r="D20" s="333"/>
      <c r="E20" s="338" t="s">
        <v>104</v>
      </c>
      <c r="F20" s="338"/>
      <c r="G20" s="330" t="s">
        <v>529</v>
      </c>
      <c r="H20" s="339" t="s">
        <v>530</v>
      </c>
      <c r="I20" s="339"/>
      <c r="J20" s="339"/>
      <c r="K20" s="339"/>
    </row>
    <row r="21" spans="1:11" ht="31.5" customHeight="1" x14ac:dyDescent="0.25">
      <c r="A21" s="337"/>
      <c r="B21" s="337"/>
      <c r="C21" s="333"/>
      <c r="D21" s="333"/>
      <c r="E21" s="338"/>
      <c r="F21" s="338"/>
      <c r="G21" s="331"/>
      <c r="H21" s="333" t="s">
        <v>0</v>
      </c>
      <c r="I21" s="333"/>
      <c r="J21" s="333" t="s">
        <v>429</v>
      </c>
      <c r="K21" s="333"/>
    </row>
    <row r="22" spans="1:11" ht="89.25" customHeight="1" x14ac:dyDescent="0.25">
      <c r="A22" s="316"/>
      <c r="B22" s="316"/>
      <c r="C22" s="240" t="s">
        <v>0</v>
      </c>
      <c r="D22" s="240" t="s">
        <v>429</v>
      </c>
      <c r="E22" s="240" t="s">
        <v>531</v>
      </c>
      <c r="F22" s="240" t="s">
        <v>532</v>
      </c>
      <c r="G22" s="332"/>
      <c r="H22" s="241" t="s">
        <v>533</v>
      </c>
      <c r="I22" s="241" t="s">
        <v>534</v>
      </c>
      <c r="J22" s="241" t="s">
        <v>533</v>
      </c>
      <c r="K22" s="241" t="s">
        <v>534</v>
      </c>
    </row>
    <row r="23" spans="1:11" ht="19.5" customHeight="1" x14ac:dyDescent="0.25">
      <c r="A23" s="238">
        <v>1</v>
      </c>
      <c r="B23" s="238">
        <v>2</v>
      </c>
      <c r="C23" s="242">
        <v>3</v>
      </c>
      <c r="D23" s="242">
        <v>4</v>
      </c>
      <c r="E23" s="242">
        <v>5</v>
      </c>
      <c r="F23" s="242">
        <v>6</v>
      </c>
      <c r="G23" s="242">
        <v>7</v>
      </c>
      <c r="H23" s="242">
        <v>8</v>
      </c>
      <c r="I23" s="242">
        <v>9</v>
      </c>
      <c r="J23" s="242">
        <v>10</v>
      </c>
      <c r="K23" s="242">
        <v>11</v>
      </c>
    </row>
    <row r="24" spans="1:11" s="103" customFormat="1" ht="47.25" customHeight="1" x14ac:dyDescent="0.25">
      <c r="A24" s="61">
        <v>1</v>
      </c>
      <c r="B24" s="60" t="s">
        <v>103</v>
      </c>
      <c r="C24" s="243">
        <f>VLOOKUP($A$11,'[1]6.2. отчет'!$D:$K,2,0)</f>
        <v>59.628870252866726</v>
      </c>
      <c r="D24" s="243">
        <f>VLOOKUP($A$11,'[1]6.2. отчет'!$D:$K,5,0)</f>
        <v>81.999148329999997</v>
      </c>
      <c r="E24" s="243">
        <f>VLOOKUP($A$11,'[1]6.2. отчет'!$D:$K,7,0)</f>
        <v>59.628870252866726</v>
      </c>
      <c r="F24" s="243">
        <f>VLOOKUP($A$11,'[1]6.2. отчет'!$D:$K,8,0)</f>
        <v>27.106583722866723</v>
      </c>
      <c r="G24" s="243">
        <f>VLOOKUP($A$11,'[1]6.2. отчет'!$D:$BL,9,0)</f>
        <v>32.522286530000002</v>
      </c>
      <c r="H24" s="243">
        <f>VLOOKUP($A$11,'[1]6.2. отчет'!$D:$BL,15,0)</f>
        <v>0</v>
      </c>
      <c r="I24" s="243">
        <f>VLOOKUP($A$11,'[1]6.2. отчет'!$D:$CU,45,0)</f>
        <v>0</v>
      </c>
      <c r="J24" s="243">
        <f>VLOOKUP($A$11,'[1]6.2. отчет'!$D:$BL,56,0)</f>
        <v>49.476861799999995</v>
      </c>
      <c r="K24" s="243">
        <f>VLOOKUP($A$11,'[1]6.2. отчет'!$D:$CU,86,0)</f>
        <v>0</v>
      </c>
    </row>
    <row r="25" spans="1:11" s="103" customFormat="1" ht="24" customHeight="1" x14ac:dyDescent="0.25">
      <c r="A25" s="59" t="s">
        <v>102</v>
      </c>
      <c r="B25" s="37" t="s">
        <v>101</v>
      </c>
      <c r="C25" s="243">
        <f>H25</f>
        <v>0</v>
      </c>
      <c r="D25" s="243">
        <f>G25+J25</f>
        <v>0</v>
      </c>
      <c r="E25" s="243">
        <f>F25+G25</f>
        <v>0</v>
      </c>
      <c r="F25" s="243">
        <f>J25</f>
        <v>0</v>
      </c>
      <c r="G25" s="243">
        <f>VLOOKUP($A$11,'[1]6.2. отчет'!$D:$BL,10,0)</f>
        <v>0</v>
      </c>
      <c r="H25" s="243">
        <f>VLOOKUP($A$11,'[1]6.2. отчет'!$D:$BL,16,0)</f>
        <v>0</v>
      </c>
      <c r="I25" s="243">
        <f>IF(H25=0,0,VLOOKUP($A$11,'[1]6.2. отчет'!$D:$CU,46,0))</f>
        <v>0</v>
      </c>
      <c r="J25" s="243">
        <f>VLOOKUP($A$11,'[1]6.2. отчет'!$D:$BL,57,0)</f>
        <v>0</v>
      </c>
      <c r="K25" s="243">
        <f>IF(J25=0,0,VLOOKUP($A$11,'[1]6.2. отчет'!$D:$CU,87,0))</f>
        <v>0</v>
      </c>
    </row>
    <row r="26" spans="1:11" s="103" customFormat="1" ht="18" customHeight="1" x14ac:dyDescent="0.25">
      <c r="A26" s="59" t="s">
        <v>100</v>
      </c>
      <c r="B26" s="37" t="s">
        <v>99</v>
      </c>
      <c r="C26" s="243">
        <f>H26</f>
        <v>0</v>
      </c>
      <c r="D26" s="243">
        <f>G26+J26</f>
        <v>0</v>
      </c>
      <c r="E26" s="243">
        <f>F26+G26</f>
        <v>0</v>
      </c>
      <c r="F26" s="243">
        <f>J26</f>
        <v>0</v>
      </c>
      <c r="G26" s="243">
        <f>VLOOKUP($A$11,'[1]6.2. отчет'!$D:$BL,11,0)</f>
        <v>0</v>
      </c>
      <c r="H26" s="243">
        <f>VLOOKUP($A$11,'[1]6.2. отчет'!$D:$BL,17,0)</f>
        <v>0</v>
      </c>
      <c r="I26" s="243">
        <f>IF(H26=0,0,VLOOKUP($A$11,'[1]6.2. отчет'!$D:$CU,47,0))</f>
        <v>0</v>
      </c>
      <c r="J26" s="243">
        <f>VLOOKUP($A$11,'[1]6.2. отчет'!$D:$BL,58,0)</f>
        <v>0</v>
      </c>
      <c r="K26" s="243">
        <f>IF(J26=0,0,VLOOKUP($A$11,'[1]6.2. отчет'!$D:$CU,88,0))</f>
        <v>0</v>
      </c>
    </row>
    <row r="27" spans="1:11" s="103" customFormat="1" ht="33.75" customHeight="1" x14ac:dyDescent="0.25">
      <c r="A27" s="59" t="s">
        <v>98</v>
      </c>
      <c r="B27" s="37" t="s">
        <v>205</v>
      </c>
      <c r="C27" s="243">
        <f>IF(C24="нд","нд",C24-(C29+C28+C26+C25))</f>
        <v>59.628870252866726</v>
      </c>
      <c r="D27" s="243">
        <f>G27+J27+D24-(G24+J24)</f>
        <v>0</v>
      </c>
      <c r="E27" s="243">
        <f>F27+G27</f>
        <v>27.106583722866723</v>
      </c>
      <c r="F27" s="243">
        <f>F24-(F25+F26+F28+F29)</f>
        <v>27.106583722866723</v>
      </c>
      <c r="G27" s="243">
        <f>VLOOKUP($A$11,'[1]6.2. отчет'!$D:$BL,12,0)</f>
        <v>0</v>
      </c>
      <c r="H27" s="243">
        <f>VLOOKUP($A$11,'[1]6.2. отчет'!$D:$BL,18,0)</f>
        <v>0</v>
      </c>
      <c r="I27" s="243">
        <f>IF(H27=0,0,VLOOKUP($A$11,'[1]6.2. отчет'!$D:$CU,48,0))</f>
        <v>0</v>
      </c>
      <c r="J27" s="243">
        <f>VLOOKUP($A$11,'[1]6.2. отчет'!$D:$BL,59,0)</f>
        <v>0</v>
      </c>
      <c r="K27" s="243">
        <f>IF(J27=0,0,VLOOKUP($A$11,'[1]6.2. отчет'!$D:$CU,89,0))</f>
        <v>0</v>
      </c>
    </row>
    <row r="28" spans="1:11" s="103" customFormat="1" ht="19.5" customHeight="1" x14ac:dyDescent="0.25">
      <c r="A28" s="59" t="s">
        <v>97</v>
      </c>
      <c r="B28" s="37" t="s">
        <v>96</v>
      </c>
      <c r="C28" s="243">
        <f>H28</f>
        <v>0</v>
      </c>
      <c r="D28" s="243">
        <f>G28+J28</f>
        <v>76.701132999999999</v>
      </c>
      <c r="E28" s="243">
        <f>F28+G28</f>
        <v>27.2242712</v>
      </c>
      <c r="F28" s="243">
        <v>0</v>
      </c>
      <c r="G28" s="243">
        <f>VLOOKUP($A$11,'[1]6.2. отчет'!$D:$BL,13,0)</f>
        <v>27.2242712</v>
      </c>
      <c r="H28" s="243">
        <f>VLOOKUP($A$11,'[1]6.2. отчет'!$D:$BL,19,0)</f>
        <v>0</v>
      </c>
      <c r="I28" s="243">
        <f>IF(H28=0,0,VLOOKUP($A$11,'[1]6.2. отчет'!$D:$CU,49,0))</f>
        <v>0</v>
      </c>
      <c r="J28" s="243">
        <f>VLOOKUP($A$11,'[1]6.2. отчет'!$D:$BL,60,0)</f>
        <v>49.476861799999995</v>
      </c>
      <c r="K28" s="243">
        <f>IF(J28=0,0,VLOOKUP($A$11,'[1]6.2. отчет'!$D:$CU,90,0))</f>
        <v>0</v>
      </c>
    </row>
    <row r="29" spans="1:11" s="103" customFormat="1" ht="21" customHeight="1" x14ac:dyDescent="0.25">
      <c r="A29" s="59" t="s">
        <v>95</v>
      </c>
      <c r="B29" s="62" t="s">
        <v>94</v>
      </c>
      <c r="C29" s="243">
        <f>H29</f>
        <v>0</v>
      </c>
      <c r="D29" s="243">
        <f>G29+J29</f>
        <v>5.2980153300000001</v>
      </c>
      <c r="E29" s="243">
        <f>F29+G29</f>
        <v>5.2980153300000001</v>
      </c>
      <c r="F29" s="243">
        <v>0</v>
      </c>
      <c r="G29" s="243">
        <f>VLOOKUP($A$11,'[1]6.2. отчет'!$D:$BL,14,0)</f>
        <v>5.2980153300000001</v>
      </c>
      <c r="H29" s="243">
        <f>VLOOKUP($A$11,'[1]6.2. отчет'!$D:$BL,20,0)</f>
        <v>0</v>
      </c>
      <c r="I29" s="243">
        <f>IF(H29=0,0,VLOOKUP($A$11,'[1]6.2. отчет'!$D:$CU,50,0))</f>
        <v>0</v>
      </c>
      <c r="J29" s="243">
        <f>VLOOKUP($A$11,'[1]6.2. отчет'!$D:$BL,61,0)</f>
        <v>0</v>
      </c>
      <c r="K29" s="243">
        <f>IF(J29=0,0,VLOOKUP($A$11,'[1]6.2. отчет'!$D:$CU,91,0))</f>
        <v>0</v>
      </c>
    </row>
    <row r="30" spans="1:11" s="103" customFormat="1" ht="47.25" x14ac:dyDescent="0.25">
      <c r="A30" s="61" t="s">
        <v>17</v>
      </c>
      <c r="B30" s="60" t="s">
        <v>93</v>
      </c>
      <c r="C30" s="243">
        <f>VLOOKUP($A$11,'[1]6.2. отчет'!$D:$DB,99,0)</f>
        <v>50.532940892259937</v>
      </c>
      <c r="D30" s="243">
        <f>VLOOKUP($A$11,'[1]6.2. отчет'!$D:$FK,106,0)</f>
        <v>70.163026860000002</v>
      </c>
      <c r="E30" s="243">
        <f>VLOOKUP($A$11,'[1]6.2. отчет'!$D:$FK,108,0)</f>
        <v>50.532940892259937</v>
      </c>
      <c r="F30" s="243">
        <f>VLOOKUP($A$11,'[1]6.2. отчет'!$D:$FK,109,0)</f>
        <v>-19.630085967740065</v>
      </c>
      <c r="G30" s="243">
        <f>VLOOKUP($A$11,'[1]6.2. отчет'!$D:$FK,110,0)</f>
        <v>70.163026860000002</v>
      </c>
      <c r="H30" s="243">
        <f>VLOOKUP($A$11,'[1]6.2. отчет'!$D:$FK,115,0)</f>
        <v>0</v>
      </c>
      <c r="I30" s="243">
        <f>VLOOKUP($A$11,'[1]6.2. отчет'!$D:$AGP,124,0)</f>
        <v>0</v>
      </c>
      <c r="J30" s="243">
        <f>VLOOKUP($A$11,'[1]6.2. отчет'!$D:$FK,130,0)</f>
        <v>0</v>
      </c>
      <c r="K30" s="243">
        <f>VLOOKUP($A$11,'[1]6.2. отчет'!$D:$FK,155,0)</f>
        <v>0</v>
      </c>
    </row>
    <row r="31" spans="1:11" s="103" customFormat="1" ht="21" customHeight="1" x14ac:dyDescent="0.25">
      <c r="A31" s="61" t="s">
        <v>92</v>
      </c>
      <c r="B31" s="37" t="s">
        <v>91</v>
      </c>
      <c r="C31" s="243">
        <f>VLOOKUP($A$11,'[1]6.2. отчет'!$D:$DB,100,0)</f>
        <v>1.9814567513360286</v>
      </c>
      <c r="D31" s="243">
        <f>G31</f>
        <v>4.4898435000000001</v>
      </c>
      <c r="E31" s="243">
        <v>1.9814567513360286</v>
      </c>
      <c r="F31" s="243">
        <f>H31</f>
        <v>0</v>
      </c>
      <c r="G31" s="243">
        <f>VLOOKUP($A$11,'[1]6.2. отчет'!$D:$FK,111,0)</f>
        <v>4.4898435000000001</v>
      </c>
      <c r="H31" s="243">
        <v>0</v>
      </c>
      <c r="I31" s="243">
        <v>0</v>
      </c>
      <c r="J31" s="243">
        <f>VLOOKUP($A$11,'[1]6.2. отчет'!$D:$FK,131,0)</f>
        <v>0</v>
      </c>
      <c r="K31" s="243">
        <f>IF(J31=0,0,VLOOKUP($A$11,'[1]6.2. отчет'!$D:$FK,156,0))</f>
        <v>0</v>
      </c>
    </row>
    <row r="32" spans="1:11" s="103" customFormat="1" ht="31.5" x14ac:dyDescent="0.25">
      <c r="A32" s="61" t="s">
        <v>90</v>
      </c>
      <c r="B32" s="37" t="s">
        <v>89</v>
      </c>
      <c r="C32" s="243">
        <f>VLOOKUP($A$11,'[1]6.2. отчет'!$D:$DB,101,0)</f>
        <v>41.317594413824096</v>
      </c>
      <c r="D32" s="243">
        <f t="shared" ref="D32:D34" si="0">G32</f>
        <v>62.764169840000001</v>
      </c>
      <c r="E32" s="243">
        <v>41.317594413824096</v>
      </c>
      <c r="F32" s="243">
        <v>-19.630085967740065</v>
      </c>
      <c r="G32" s="243">
        <f>VLOOKUP($A$11,'[1]6.2. отчет'!$D:$FK,112,0)</f>
        <v>62.764169840000001</v>
      </c>
      <c r="H32" s="243">
        <v>0</v>
      </c>
      <c r="I32" s="243">
        <v>0</v>
      </c>
      <c r="J32" s="243">
        <f>VLOOKUP($A$11,'[1]6.2. отчет'!$D:$FK,132,0)</f>
        <v>0</v>
      </c>
      <c r="K32" s="243">
        <f>IF(J32=0,0,VLOOKUP($A$11,'[1]6.2. отчет'!$D:$FK,157,0))</f>
        <v>0</v>
      </c>
    </row>
    <row r="33" spans="1:11" s="103" customFormat="1" ht="20.25" customHeight="1" x14ac:dyDescent="0.25">
      <c r="A33" s="61" t="s">
        <v>88</v>
      </c>
      <c r="B33" s="37" t="s">
        <v>87</v>
      </c>
      <c r="C33" s="243">
        <f>VLOOKUP($A$11,'[1]6.2. отчет'!$D:$DB,102,0)</f>
        <v>0</v>
      </c>
      <c r="D33" s="243">
        <f t="shared" si="0"/>
        <v>0</v>
      </c>
      <c r="E33" s="243">
        <v>0</v>
      </c>
      <c r="F33" s="243">
        <f>H33</f>
        <v>0</v>
      </c>
      <c r="G33" s="243">
        <f>VLOOKUP($A$11,'[1]6.2. отчет'!$D:$FK,113,0)</f>
        <v>0</v>
      </c>
      <c r="H33" s="243">
        <v>0</v>
      </c>
      <c r="I33" s="243">
        <v>0</v>
      </c>
      <c r="J33" s="243">
        <f>VLOOKUP($A$11,'[1]6.2. отчет'!$D:$FK,133,0)</f>
        <v>0</v>
      </c>
      <c r="K33" s="243">
        <f>IF(J33=0,0,VLOOKUP($A$11,'[1]6.2. отчет'!$D:$FK,158,0))</f>
        <v>0</v>
      </c>
    </row>
    <row r="34" spans="1:11" s="103" customFormat="1" ht="21" customHeight="1" x14ac:dyDescent="0.25">
      <c r="A34" s="61" t="s">
        <v>86</v>
      </c>
      <c r="B34" s="37" t="s">
        <v>85</v>
      </c>
      <c r="C34" s="243">
        <f>VLOOKUP($A$11,'[1]6.2. отчет'!$D:$DB,103,0)</f>
        <v>7.2338897270998119</v>
      </c>
      <c r="D34" s="243">
        <f t="shared" si="0"/>
        <v>2.9090135199999998</v>
      </c>
      <c r="E34" s="243">
        <v>7.2338897270998119</v>
      </c>
      <c r="F34" s="243">
        <f>H34</f>
        <v>0</v>
      </c>
      <c r="G34" s="243">
        <f>VLOOKUP($A$11,'[1]6.2. отчет'!$D:$FK,114,0)</f>
        <v>2.9090135199999998</v>
      </c>
      <c r="H34" s="243">
        <v>0</v>
      </c>
      <c r="I34" s="243">
        <v>0</v>
      </c>
      <c r="J34" s="243">
        <f>VLOOKUP($A$11,'[1]6.2. отчет'!$D:$FK,134,0)</f>
        <v>0</v>
      </c>
      <c r="K34" s="243">
        <f>IF(J34=0,0,VLOOKUP($A$11,'[1]6.2. отчет'!$D:$FK,159,0))</f>
        <v>0</v>
      </c>
    </row>
    <row r="35" spans="1:11" ht="31.5" x14ac:dyDescent="0.25">
      <c r="A35" s="61" t="s">
        <v>16</v>
      </c>
      <c r="B35" s="60" t="s">
        <v>84</v>
      </c>
      <c r="C35" s="243"/>
      <c r="D35" s="243"/>
      <c r="E35" s="243"/>
      <c r="F35" s="243"/>
      <c r="G35" s="243"/>
      <c r="H35" s="243"/>
      <c r="I35" s="244"/>
      <c r="J35" s="243"/>
      <c r="K35" s="244"/>
    </row>
    <row r="36" spans="1:11" ht="31.5" x14ac:dyDescent="0.25">
      <c r="A36" s="59" t="s">
        <v>83</v>
      </c>
      <c r="B36" s="245" t="s">
        <v>82</v>
      </c>
      <c r="C36" s="243">
        <f>IF('1. паспорт местоположение'!$C$22="Прочие инвестиционные проекты",0,VLOOKUP($A$11,'[1]6.2. отчет'!$D:$FX,168,0))</f>
        <v>0</v>
      </c>
      <c r="D36" s="243">
        <v>0</v>
      </c>
      <c r="E36" s="243">
        <f t="shared" ref="E36:E57" si="1">F36+G36</f>
        <v>0</v>
      </c>
      <c r="F36" s="243">
        <f>C36</f>
        <v>0</v>
      </c>
      <c r="G36" s="243">
        <f>IF('1. паспорт местоположение'!$C$22="Прочие инвестиционные проекты",0,VLOOKUP($A$11,'[1]6.2. отчет'!$D:$GJ,180,0))</f>
        <v>0</v>
      </c>
      <c r="H36" s="243">
        <f>IF('1. паспорт местоположение'!$C$22="Прочие инвестиционные проекты",0,VLOOKUP($A$11,'[1]6.2. отчет'!$D:$AGO,191,0))</f>
        <v>0</v>
      </c>
      <c r="I36" s="243">
        <f>IF('1. паспорт местоположение'!$C$22="Прочие инвестиционные проекты",0,VLOOKUP($A$11,'[1]6.2. отчет'!$D:$AGO,246,0))</f>
        <v>0</v>
      </c>
      <c r="J36" s="243">
        <f>IF('1. паспорт местоположение'!$C$22="Прочие инвестиционные проекты",0,VLOOKUP($A$11,'[1]6.2. отчет'!$D:$AGO,257,0))</f>
        <v>0</v>
      </c>
      <c r="K36" s="243">
        <f>IF('1. паспорт местоположение'!$C$22="Прочие инвестиционные проекты",0,VLOOKUP($A$11,'[1]6.2. отчет'!$D:$AGO,312,0))</f>
        <v>0</v>
      </c>
    </row>
    <row r="37" spans="1:11" ht="21" customHeight="1" x14ac:dyDescent="0.25">
      <c r="A37" s="59" t="s">
        <v>81</v>
      </c>
      <c r="B37" s="245" t="s">
        <v>71</v>
      </c>
      <c r="C37" s="243">
        <f>IF('1. паспорт местоположение'!$C$22="Прочие инвестиционные проекты",0,VLOOKUP($A$11,'[1]6.2. отчет'!$D:$FX,169,0))</f>
        <v>0</v>
      </c>
      <c r="D37" s="243">
        <v>0</v>
      </c>
      <c r="E37" s="243">
        <f t="shared" si="1"/>
        <v>0</v>
      </c>
      <c r="F37" s="243">
        <f t="shared" ref="F37:F64" si="2">C37</f>
        <v>0</v>
      </c>
      <c r="G37" s="243">
        <f>IF('1. паспорт местоположение'!$C$22="Прочие инвестиционные проекты",0,VLOOKUP($A$11,'[1]6.2. отчет'!$D:$GJ,181,0))</f>
        <v>0</v>
      </c>
      <c r="H37" s="243">
        <f>IF('1. паспорт местоположение'!$C$22="Прочие инвестиционные проекты",0,VLOOKUP($A$11,'[1]6.2. отчет'!$D:$AGO,192,0))</f>
        <v>0</v>
      </c>
      <c r="I37" s="243">
        <f>IF('1. паспорт местоположение'!$C$22="Прочие инвестиционные проекты",0,VLOOKUP($A$11,'[1]6.2. отчет'!$D:$AGO,247,0))</f>
        <v>0</v>
      </c>
      <c r="J37" s="243">
        <f>IF('1. паспорт местоположение'!$C$22="Прочие инвестиционные проекты",0,VLOOKUP($A$11,'[1]6.2. отчет'!$D:$AGO,258,0))</f>
        <v>0</v>
      </c>
      <c r="K37" s="243">
        <f>IF('1. паспорт местоположение'!$C$22="Прочие инвестиционные проекты",0,VLOOKUP($A$11,'[1]6.2. отчет'!$D:$AGO,313,0))</f>
        <v>0</v>
      </c>
    </row>
    <row r="38" spans="1:11" ht="23.25" customHeight="1" x14ac:dyDescent="0.25">
      <c r="A38" s="59" t="s">
        <v>80</v>
      </c>
      <c r="B38" s="245" t="s">
        <v>69</v>
      </c>
      <c r="C38" s="243">
        <f>IF('1. паспорт местоположение'!$C$22="Прочие инвестиционные проекты",0,VLOOKUP($A$11,'[1]6.2. отчет'!$D:$FX,170,0))</f>
        <v>0</v>
      </c>
      <c r="D38" s="243">
        <v>0</v>
      </c>
      <c r="E38" s="243">
        <f t="shared" si="1"/>
        <v>0</v>
      </c>
      <c r="F38" s="243">
        <f t="shared" si="2"/>
        <v>0</v>
      </c>
      <c r="G38" s="243">
        <f>IF('1. паспорт местоположение'!$C$22="Прочие инвестиционные проекты",0,VLOOKUP($A$11,'[1]6.2. отчет'!$D:$GJ,182,0))</f>
        <v>0</v>
      </c>
      <c r="H38" s="243">
        <f>IF('1. паспорт местоположение'!$C$22="Прочие инвестиционные проекты",0,VLOOKUP($A$11,'[1]6.2. отчет'!$D:$AGO,193,0))</f>
        <v>0</v>
      </c>
      <c r="I38" s="243">
        <f>IF('1. паспорт местоположение'!$C$22="Прочие инвестиционные проекты",0,VLOOKUP($A$11,'[1]6.2. отчет'!$D:$AGO,248,0))</f>
        <v>0</v>
      </c>
      <c r="J38" s="243">
        <f>IF('1. паспорт местоположение'!$C$22="Прочие инвестиционные проекты",0,VLOOKUP($A$11,'[1]6.2. отчет'!$D:$AGO,259,0))</f>
        <v>0</v>
      </c>
      <c r="K38" s="243">
        <f>IF('1. паспорт местоположение'!$C$22="Прочие инвестиционные проекты",0,VLOOKUP($A$11,'[1]6.2. отчет'!$D:$AGO,314,0))</f>
        <v>0</v>
      </c>
    </row>
    <row r="39" spans="1:11" ht="31.5" x14ac:dyDescent="0.25">
      <c r="A39" s="59" t="s">
        <v>79</v>
      </c>
      <c r="B39" s="37" t="s">
        <v>67</v>
      </c>
      <c r="C39" s="243">
        <f>IF('1. паспорт местоположение'!$C$22="Прочие инвестиционные проекты",0,VLOOKUP($A$11,'[1]6.2. отчет'!$D:$FX,172,0))</f>
        <v>5.3</v>
      </c>
      <c r="D39" s="243">
        <v>4.84</v>
      </c>
      <c r="E39" s="243">
        <f t="shared" si="1"/>
        <v>10.14</v>
      </c>
      <c r="F39" s="243">
        <f t="shared" si="2"/>
        <v>5.3</v>
      </c>
      <c r="G39" s="243">
        <f>IF('1. паспорт местоположение'!$C$22="Прочие инвестиционные проекты",0,VLOOKUP($A$11,'[1]6.2. отчет'!$D:$GJ,184,0))</f>
        <v>4.84</v>
      </c>
      <c r="H39" s="243">
        <f>IF('1. паспорт местоположение'!$C$22="Прочие инвестиционные проекты",0,VLOOKUP($A$11,'[1]6.2. отчет'!$D:$AGO,195,0))</f>
        <v>0</v>
      </c>
      <c r="I39" s="243">
        <f>IF('1. паспорт местоположение'!$C$22="Прочие инвестиционные проекты",0,VLOOKUP($A$11,'[1]6.2. отчет'!$D:$AGO,250,0))</f>
        <v>0</v>
      </c>
      <c r="J39" s="243">
        <f>IF('1. паспорт местоположение'!$C$22="Прочие инвестиционные проекты",0,VLOOKUP($A$11,'[1]6.2. отчет'!$D:$AGO,261,0))</f>
        <v>0</v>
      </c>
      <c r="K39" s="243">
        <f>IF('1. паспорт местоположение'!$C$22="Прочие инвестиционные проекты",0,VLOOKUP($A$11,'[1]6.2. отчет'!$D:$AGO,316,0))</f>
        <v>0</v>
      </c>
    </row>
    <row r="40" spans="1:11" s="103" customFormat="1" ht="31.5" x14ac:dyDescent="0.25">
      <c r="A40" s="59" t="s">
        <v>78</v>
      </c>
      <c r="B40" s="37" t="s">
        <v>65</v>
      </c>
      <c r="C40" s="243">
        <f>IF('1. паспорт местоположение'!$C$22="Прочие инвестиционные проекты",0,VLOOKUP($A$11,'[1]6.2. отчет'!$D:$FX,173,0))</f>
        <v>0</v>
      </c>
      <c r="D40" s="243">
        <v>0</v>
      </c>
      <c r="E40" s="243">
        <f t="shared" si="1"/>
        <v>0</v>
      </c>
      <c r="F40" s="243">
        <f t="shared" si="2"/>
        <v>0</v>
      </c>
      <c r="G40" s="243">
        <f>IF('1. паспорт местоположение'!$C$22="Прочие инвестиционные проекты",0,VLOOKUP($A$11,'[1]6.2. отчет'!$D:$GJ,185,0))</f>
        <v>0</v>
      </c>
      <c r="H40" s="243">
        <f>IF('1. паспорт местоположение'!$C$22="Прочие инвестиционные проекты",0,VLOOKUP($A$11,'[1]6.2. отчет'!$D:$AGO,196,0))</f>
        <v>0</v>
      </c>
      <c r="I40" s="243">
        <f>IF('1. паспорт местоположение'!$C$22="Прочие инвестиционные проекты",0,VLOOKUP($A$11,'[1]6.2. отчет'!$D:$AGO,251,0))</f>
        <v>0</v>
      </c>
      <c r="J40" s="243">
        <f>IF('1. паспорт местоположение'!$C$22="Прочие инвестиционные проекты",0,VLOOKUP($A$11,'[1]6.2. отчет'!$D:$AGO,262,0))</f>
        <v>0</v>
      </c>
      <c r="K40" s="243">
        <f>IF('1. паспорт местоположение'!$C$22="Прочие инвестиционные проекты",0,VLOOKUP($A$11,'[1]6.2. отчет'!$D:$AGO,317,0))</f>
        <v>0</v>
      </c>
    </row>
    <row r="41" spans="1:11" ht="21" customHeight="1" x14ac:dyDescent="0.25">
      <c r="A41" s="59" t="s">
        <v>77</v>
      </c>
      <c r="B41" s="37" t="s">
        <v>63</v>
      </c>
      <c r="C41" s="243">
        <f>IF('1. паспорт местоположение'!$C$22="Прочие инвестиционные проекты",0,VLOOKUP($A$11,'[1]6.2. отчет'!$D:$FX,174,0))</f>
        <v>0</v>
      </c>
      <c r="D41" s="243">
        <v>0</v>
      </c>
      <c r="E41" s="243">
        <f t="shared" si="1"/>
        <v>0</v>
      </c>
      <c r="F41" s="243">
        <f t="shared" si="2"/>
        <v>0</v>
      </c>
      <c r="G41" s="243">
        <f>IF('1. паспорт местоположение'!$C$22="Прочие инвестиционные проекты",0,VLOOKUP($A$11,'[1]6.2. отчет'!$D:$GJ,186,0))</f>
        <v>0</v>
      </c>
      <c r="H41" s="243">
        <f>IF('1. паспорт местоположение'!$C$22="Прочие инвестиционные проекты",0,VLOOKUP($A$11,'[1]6.2. отчет'!$D:$AGO,197,0))</f>
        <v>0</v>
      </c>
      <c r="I41" s="243">
        <f>IF('1. паспорт местоположение'!$C$22="Прочие инвестиционные проекты",0,VLOOKUP($A$11,'[1]6.2. отчет'!$D:$AGO,252,0))</f>
        <v>0</v>
      </c>
      <c r="J41" s="243">
        <f>IF('1. паспорт местоположение'!$C$22="Прочие инвестиционные проекты",0,VLOOKUP($A$11,'[1]6.2. отчет'!$D:$AGO,263,0))</f>
        <v>0</v>
      </c>
      <c r="K41" s="243">
        <f>IF('1. паспорт местоположение'!$C$22="Прочие инвестиционные проекты",0,VLOOKUP($A$11,'[1]6.2. отчет'!$D:$AGO,318,0))</f>
        <v>0</v>
      </c>
    </row>
    <row r="42" spans="1:11" ht="26.25" customHeight="1" x14ac:dyDescent="0.25">
      <c r="A42" s="59" t="s">
        <v>76</v>
      </c>
      <c r="B42" s="245" t="s">
        <v>61</v>
      </c>
      <c r="C42" s="243">
        <f>IF('1. паспорт местоположение'!$C$22="Прочие инвестиционные проекты",0,VLOOKUP($A$11,'[1]6.2. отчет'!$D:$FX,177,0))</f>
        <v>0</v>
      </c>
      <c r="D42" s="243">
        <v>0</v>
      </c>
      <c r="E42" s="243">
        <f t="shared" si="1"/>
        <v>0</v>
      </c>
      <c r="F42" s="243">
        <f t="shared" si="2"/>
        <v>0</v>
      </c>
      <c r="G42" s="243">
        <f>IF('1. паспорт местоположение'!$C$22="Прочие инвестиционные проекты",0,VLOOKUP($A$11,'[1]6.2. отчет'!$D:$GJ,189,0))</f>
        <v>0</v>
      </c>
      <c r="H42" s="243">
        <f>IF('1. паспорт местоположение'!$C$22="Прочие инвестиционные проекты",0,VLOOKUP($A$11,'[1]6.2. отчет'!$D:$AGO,200,0))</f>
        <v>0</v>
      </c>
      <c r="I42" s="243">
        <f>IF('1. паспорт местоположение'!$C$22="Прочие инвестиционные проекты",0,VLOOKUP($A$11,'[1]6.2. отчет'!$D:$AGO,255,0))</f>
        <v>0</v>
      </c>
      <c r="J42" s="243">
        <f>IF('1. паспорт местоположение'!$C$22="Прочие инвестиционные проекты",0,VLOOKUP($A$11,'[1]6.2. отчет'!$D:$AGO,266,0))</f>
        <v>0</v>
      </c>
      <c r="K42" s="243">
        <f>IF('1. паспорт местоположение'!$C$22="Прочие инвестиционные проекты",0,VLOOKUP($A$11,'[1]6.2. отчет'!$D:$AGO,321,0))</f>
        <v>0</v>
      </c>
    </row>
    <row r="43" spans="1:11" x14ac:dyDescent="0.25">
      <c r="A43" s="61" t="s">
        <v>15</v>
      </c>
      <c r="B43" s="60" t="s">
        <v>75</v>
      </c>
      <c r="C43" s="243"/>
      <c r="D43" s="243"/>
      <c r="E43" s="243"/>
      <c r="F43" s="243">
        <f t="shared" si="2"/>
        <v>0</v>
      </c>
      <c r="G43" s="243"/>
      <c r="H43" s="243"/>
      <c r="I43" s="244"/>
      <c r="J43" s="243"/>
      <c r="K43" s="244"/>
    </row>
    <row r="44" spans="1:11" x14ac:dyDescent="0.25">
      <c r="A44" s="59" t="s">
        <v>74</v>
      </c>
      <c r="B44" s="37" t="s">
        <v>73</v>
      </c>
      <c r="C44" s="243">
        <f>VLOOKUP($A$11,'[1]6.2. отчет'!$D:$FX,168,0)</f>
        <v>0</v>
      </c>
      <c r="D44" s="243">
        <v>0</v>
      </c>
      <c r="E44" s="243">
        <f t="shared" si="1"/>
        <v>0</v>
      </c>
      <c r="F44" s="243">
        <f t="shared" si="2"/>
        <v>0</v>
      </c>
      <c r="G44" s="243">
        <f>VLOOKUP($A$11,'[1]6.2. отчет'!$D:$GJ,180,0)</f>
        <v>0</v>
      </c>
      <c r="H44" s="243">
        <f>VLOOKUP($A$11,'[1]6.2. отчет'!$D:$AGO,191,0)</f>
        <v>0</v>
      </c>
      <c r="I44" s="243">
        <f>VLOOKUP($A$11,'[1]6.2. отчет'!$D:$AGO,246,0)</f>
        <v>0</v>
      </c>
      <c r="J44" s="243">
        <f>VLOOKUP($A$11,'[1]6.2. отчет'!$D:$AGO,257,0)</f>
        <v>0</v>
      </c>
      <c r="K44" s="243">
        <f>VLOOKUP($A$11,'[1]6.2. отчет'!$D:$AGO,312,0)</f>
        <v>0</v>
      </c>
    </row>
    <row r="45" spans="1:11" x14ac:dyDescent="0.25">
      <c r="A45" s="59" t="s">
        <v>72</v>
      </c>
      <c r="B45" s="37" t="s">
        <v>71</v>
      </c>
      <c r="C45" s="243">
        <f>VLOOKUP($A$11,'[1]6.2. отчет'!$D:$FX,169,0)</f>
        <v>0</v>
      </c>
      <c r="D45" s="243">
        <v>0</v>
      </c>
      <c r="E45" s="243">
        <f t="shared" si="1"/>
        <v>0</v>
      </c>
      <c r="F45" s="243">
        <f t="shared" si="2"/>
        <v>0</v>
      </c>
      <c r="G45" s="243">
        <f>VLOOKUP($A$11,'[1]6.2. отчет'!$D:$GJ,181,0)</f>
        <v>0</v>
      </c>
      <c r="H45" s="243">
        <f>VLOOKUP($A$11,'[1]6.2. отчет'!$D:$AGO,192,0)</f>
        <v>0</v>
      </c>
      <c r="I45" s="243">
        <f>VLOOKUP($A$11,'[1]6.2. отчет'!$D:$AGO,247,0)</f>
        <v>0</v>
      </c>
      <c r="J45" s="243">
        <f>VLOOKUP($A$11,'[1]6.2. отчет'!$D:$AGO,258,0)</f>
        <v>0</v>
      </c>
      <c r="K45" s="243">
        <f>VLOOKUP($A$11,'[1]6.2. отчет'!$D:$AGO,313,0)</f>
        <v>0</v>
      </c>
    </row>
    <row r="46" spans="1:11" x14ac:dyDescent="0.25">
      <c r="A46" s="59" t="s">
        <v>70</v>
      </c>
      <c r="B46" s="37" t="s">
        <v>69</v>
      </c>
      <c r="C46" s="243">
        <f>VLOOKUP($A$11,'[1]6.2. отчет'!$D:$FX,170,0)</f>
        <v>0</v>
      </c>
      <c r="D46" s="243">
        <v>0</v>
      </c>
      <c r="E46" s="243">
        <f t="shared" si="1"/>
        <v>0</v>
      </c>
      <c r="F46" s="243">
        <f t="shared" si="2"/>
        <v>0</v>
      </c>
      <c r="G46" s="243">
        <f>VLOOKUP($A$11,'[1]6.2. отчет'!$D:$GJ,182,0)</f>
        <v>0</v>
      </c>
      <c r="H46" s="243">
        <f>VLOOKUP($A$11,'[1]6.2. отчет'!$D:$AGO,193,0)</f>
        <v>0</v>
      </c>
      <c r="I46" s="243">
        <f>VLOOKUP($A$11,'[1]6.2. отчет'!$D:$AGO,248,0)</f>
        <v>0</v>
      </c>
      <c r="J46" s="243">
        <f>VLOOKUP($A$11,'[1]6.2. отчет'!$D:$AGO,259,0)</f>
        <v>0</v>
      </c>
      <c r="K46" s="243">
        <f>VLOOKUP($A$11,'[1]6.2. отчет'!$D:$AGO,314,0)</f>
        <v>0</v>
      </c>
    </row>
    <row r="47" spans="1:11" ht="31.5" x14ac:dyDescent="0.25">
      <c r="A47" s="59" t="s">
        <v>68</v>
      </c>
      <c r="B47" s="37" t="s">
        <v>67</v>
      </c>
      <c r="C47" s="243">
        <f>VLOOKUP($A$11,'[1]6.2. отчет'!$D:$FX,172,0)</f>
        <v>5.3</v>
      </c>
      <c r="D47" s="243">
        <v>4.84</v>
      </c>
      <c r="E47" s="243">
        <f t="shared" si="1"/>
        <v>10.14</v>
      </c>
      <c r="F47" s="243">
        <f t="shared" si="2"/>
        <v>5.3</v>
      </c>
      <c r="G47" s="243">
        <f>VLOOKUP($A$11,'[1]6.2. отчет'!$D:$GJ,184,0)</f>
        <v>4.84</v>
      </c>
      <c r="H47" s="243">
        <f>VLOOKUP($A$11,'[1]6.2. отчет'!$D:$AGO,195,0)</f>
        <v>0</v>
      </c>
      <c r="I47" s="243">
        <f>VLOOKUP($A$11,'[1]6.2. отчет'!$D:$AGO,250,0)</f>
        <v>0</v>
      </c>
      <c r="J47" s="243">
        <f>VLOOKUP($A$11,'[1]6.2. отчет'!$D:$AGO,261,0)</f>
        <v>0</v>
      </c>
      <c r="K47" s="243">
        <f>VLOOKUP($A$11,'[1]6.2. отчет'!$D:$AGO,316,0)</f>
        <v>0</v>
      </c>
    </row>
    <row r="48" spans="1:11" ht="31.5" x14ac:dyDescent="0.25">
      <c r="A48" s="59" t="s">
        <v>66</v>
      </c>
      <c r="B48" s="37" t="s">
        <v>65</v>
      </c>
      <c r="C48" s="243">
        <f>VLOOKUP($A$11,'[1]6.2. отчет'!$D:$FX,173,0)</f>
        <v>0</v>
      </c>
      <c r="D48" s="243">
        <v>0</v>
      </c>
      <c r="E48" s="243">
        <f t="shared" si="1"/>
        <v>0</v>
      </c>
      <c r="F48" s="243">
        <f t="shared" si="2"/>
        <v>0</v>
      </c>
      <c r="G48" s="243">
        <f>VLOOKUP($A$11,'[1]6.2. отчет'!$D:$GJ,185,0)</f>
        <v>0</v>
      </c>
      <c r="H48" s="243">
        <f>VLOOKUP($A$11,'[1]6.2. отчет'!$D:$AGO,196,0)</f>
        <v>0</v>
      </c>
      <c r="I48" s="243">
        <f>VLOOKUP($A$11,'[1]6.2. отчет'!$D:$AGO,251,0)</f>
        <v>0</v>
      </c>
      <c r="J48" s="243">
        <f>VLOOKUP($A$11,'[1]6.2. отчет'!$D:$AGO,262,0)</f>
        <v>0</v>
      </c>
      <c r="K48" s="243">
        <f>VLOOKUP($A$11,'[1]6.2. отчет'!$D:$AGO,317,0)</f>
        <v>0</v>
      </c>
    </row>
    <row r="49" spans="1:11" x14ac:dyDescent="0.25">
      <c r="A49" s="59" t="s">
        <v>64</v>
      </c>
      <c r="B49" s="37" t="s">
        <v>63</v>
      </c>
      <c r="C49" s="243">
        <f>VLOOKUP($A$11,'[1]6.2. отчет'!$D:$FX,174,0)</f>
        <v>0</v>
      </c>
      <c r="D49" s="243">
        <v>0</v>
      </c>
      <c r="E49" s="243">
        <f t="shared" si="1"/>
        <v>0</v>
      </c>
      <c r="F49" s="243">
        <f t="shared" si="2"/>
        <v>0</v>
      </c>
      <c r="G49" s="243">
        <f>VLOOKUP($A$11,'[1]6.2. отчет'!$D:$GJ,186,0)</f>
        <v>0</v>
      </c>
      <c r="H49" s="243">
        <f>VLOOKUP($A$11,'[1]6.2. отчет'!$D:$AGO,197,0)</f>
        <v>0</v>
      </c>
      <c r="I49" s="243">
        <f>VLOOKUP($A$11,'[1]6.2. отчет'!$D:$AGO,252,0)</f>
        <v>0</v>
      </c>
      <c r="J49" s="243">
        <f>VLOOKUP($A$11,'[1]6.2. отчет'!$D:$AGO,263,0)</f>
        <v>0</v>
      </c>
      <c r="K49" s="243">
        <f>VLOOKUP($A$11,'[1]6.2. отчет'!$D:$AGO,318,0)</f>
        <v>0</v>
      </c>
    </row>
    <row r="50" spans="1:11" ht="18.75" x14ac:dyDescent="0.25">
      <c r="A50" s="59" t="s">
        <v>62</v>
      </c>
      <c r="B50" s="245" t="s">
        <v>61</v>
      </c>
      <c r="C50" s="243">
        <f>VLOOKUP($A$11,'[1]6.2. отчет'!$D:$FX,177,0)</f>
        <v>0</v>
      </c>
      <c r="D50" s="243">
        <v>0</v>
      </c>
      <c r="E50" s="243">
        <f t="shared" si="1"/>
        <v>0</v>
      </c>
      <c r="F50" s="243">
        <f t="shared" si="2"/>
        <v>0</v>
      </c>
      <c r="G50" s="243">
        <f>VLOOKUP($A$11,'[1]6.2. отчет'!$D:$GJ,189,0)</f>
        <v>0</v>
      </c>
      <c r="H50" s="243">
        <f>VLOOKUP($A$11,'[1]6.2. отчет'!$D:$AGO,200,0)</f>
        <v>0</v>
      </c>
      <c r="I50" s="243">
        <f>VLOOKUP($A$11,'[1]6.2. отчет'!$D:$AGO,255,0)</f>
        <v>0</v>
      </c>
      <c r="J50" s="243">
        <f>VLOOKUP($A$11,'[1]6.2. отчет'!$D:$AGO,266,0)</f>
        <v>0</v>
      </c>
      <c r="K50" s="243">
        <f>VLOOKUP($A$11,'[1]6.2. отчет'!$D:$AGO,321,0)</f>
        <v>0</v>
      </c>
    </row>
    <row r="51" spans="1:11" ht="35.25" customHeight="1" x14ac:dyDescent="0.25">
      <c r="A51" s="61" t="s">
        <v>13</v>
      </c>
      <c r="B51" s="60" t="s">
        <v>60</v>
      </c>
      <c r="C51" s="243"/>
      <c r="D51" s="243"/>
      <c r="E51" s="243"/>
      <c r="F51" s="243">
        <f t="shared" si="2"/>
        <v>0</v>
      </c>
      <c r="G51" s="243"/>
      <c r="H51" s="243"/>
      <c r="I51" s="244"/>
      <c r="J51" s="243"/>
      <c r="K51" s="244"/>
    </row>
    <row r="52" spans="1:11" x14ac:dyDescent="0.25">
      <c r="A52" s="59" t="s">
        <v>59</v>
      </c>
      <c r="B52" s="37" t="s">
        <v>58</v>
      </c>
      <c r="C52" s="243">
        <f>VLOOKUP($A$11,'[1]6.2. отчет'!$D:$FX,167,0)</f>
        <v>50.532940892259937</v>
      </c>
      <c r="D52" s="243">
        <v>70.163026860000002</v>
      </c>
      <c r="E52" s="243">
        <f t="shared" si="1"/>
        <v>120.69596775225995</v>
      </c>
      <c r="F52" s="243">
        <f t="shared" si="2"/>
        <v>50.532940892259937</v>
      </c>
      <c r="G52" s="243">
        <f>VLOOKUP($A$11,'[1]6.2. отчет'!$D:$GJ,179,0)</f>
        <v>70.163026860000002</v>
      </c>
      <c r="H52" s="243">
        <f>VLOOKUP($A$11,'[1]6.2. отчет'!$D:$AGO,190,0)</f>
        <v>0</v>
      </c>
      <c r="I52" s="243">
        <f>VLOOKUP($A$11,'[1]6.2. отчет'!$D:$AGO,245,0)</f>
        <v>0</v>
      </c>
      <c r="J52" s="243">
        <f>VLOOKUP($A$11,'[1]6.2. отчет'!$D:$AGO,256,0)</f>
        <v>0</v>
      </c>
      <c r="K52" s="243">
        <f>VLOOKUP($A$11,'[1]6.2. отчет'!$D:$AGO,311,0)</f>
        <v>0</v>
      </c>
    </row>
    <row r="53" spans="1:11" x14ac:dyDescent="0.25">
      <c r="A53" s="59" t="s">
        <v>57</v>
      </c>
      <c r="B53" s="37" t="s">
        <v>51</v>
      </c>
      <c r="C53" s="243">
        <f>VLOOKUP($A$11,'[1]6.2. отчет'!$D:$FX,168,0)</f>
        <v>0</v>
      </c>
      <c r="D53" s="243">
        <v>0</v>
      </c>
      <c r="E53" s="243">
        <f t="shared" si="1"/>
        <v>0</v>
      </c>
      <c r="F53" s="243">
        <f t="shared" si="2"/>
        <v>0</v>
      </c>
      <c r="G53" s="243">
        <f>VLOOKUP($A$11,'[1]6.2. отчет'!$D:$GJ,180,0)</f>
        <v>0</v>
      </c>
      <c r="H53" s="243">
        <f>VLOOKUP($A$11,'[1]6.2. отчет'!$D:$AGO,191,0)</f>
        <v>0</v>
      </c>
      <c r="I53" s="243">
        <f>VLOOKUP($A$11,'[1]6.2. отчет'!$D:$AGO,246,0)</f>
        <v>0</v>
      </c>
      <c r="J53" s="243">
        <f>VLOOKUP($A$11,'[1]6.2. отчет'!$D:$AGO,257,0)</f>
        <v>0</v>
      </c>
      <c r="K53" s="243">
        <f>VLOOKUP($A$11,'[1]6.2. отчет'!$D:$AGO,312,0)</f>
        <v>0</v>
      </c>
    </row>
    <row r="54" spans="1:11" x14ac:dyDescent="0.25">
      <c r="A54" s="59" t="s">
        <v>56</v>
      </c>
      <c r="B54" s="245" t="s">
        <v>50</v>
      </c>
      <c r="C54" s="243">
        <f>VLOOKUP($A$11,'[1]6.2. отчет'!$D:$FX,169,0)</f>
        <v>0</v>
      </c>
      <c r="D54" s="243">
        <v>0</v>
      </c>
      <c r="E54" s="243">
        <f t="shared" si="1"/>
        <v>0</v>
      </c>
      <c r="F54" s="243">
        <f t="shared" si="2"/>
        <v>0</v>
      </c>
      <c r="G54" s="243">
        <f>VLOOKUP($A$11,'[1]6.2. отчет'!$D:$GJ,181,0)</f>
        <v>0</v>
      </c>
      <c r="H54" s="243">
        <f>VLOOKUP($A$11,'[1]6.2. отчет'!$D:$AGO,192,0)</f>
        <v>0</v>
      </c>
      <c r="I54" s="243">
        <f>VLOOKUP($A$11,'[1]6.2. отчет'!$D:$AGO,247,0)</f>
        <v>0</v>
      </c>
      <c r="J54" s="243">
        <f>VLOOKUP($A$11,'[1]6.2. отчет'!$D:$AGO,258,0)</f>
        <v>0</v>
      </c>
      <c r="K54" s="243">
        <f>VLOOKUP($A$11,'[1]6.2. отчет'!$D:$AGO,313,0)</f>
        <v>0</v>
      </c>
    </row>
    <row r="55" spans="1:11" x14ac:dyDescent="0.25">
      <c r="A55" s="59" t="s">
        <v>55</v>
      </c>
      <c r="B55" s="245" t="s">
        <v>49</v>
      </c>
      <c r="C55" s="243">
        <f>VLOOKUP($A$11,'[1]6.2. отчет'!$D:$FX,170,0)</f>
        <v>0</v>
      </c>
      <c r="D55" s="243">
        <v>0</v>
      </c>
      <c r="E55" s="243">
        <f t="shared" si="1"/>
        <v>0</v>
      </c>
      <c r="F55" s="243">
        <f t="shared" si="2"/>
        <v>0</v>
      </c>
      <c r="G55" s="243">
        <f>VLOOKUP($A$11,'[1]6.2. отчет'!$D:$GJ,182,0)</f>
        <v>0</v>
      </c>
      <c r="H55" s="243">
        <f>VLOOKUP($A$11,'[1]6.2. отчет'!$D:$AGO,193,0)</f>
        <v>0</v>
      </c>
      <c r="I55" s="243">
        <f>VLOOKUP($A$11,'[1]6.2. отчет'!$D:$AGO,248,0)</f>
        <v>0</v>
      </c>
      <c r="J55" s="243">
        <f>VLOOKUP($A$11,'[1]6.2. отчет'!$D:$AGO,259,0)</f>
        <v>0</v>
      </c>
      <c r="K55" s="243">
        <f>VLOOKUP($A$11,'[1]6.2. отчет'!$D:$AGO,314,0)</f>
        <v>0</v>
      </c>
    </row>
    <row r="56" spans="1:11" x14ac:dyDescent="0.25">
      <c r="A56" s="59" t="s">
        <v>54</v>
      </c>
      <c r="B56" s="245" t="s">
        <v>48</v>
      </c>
      <c r="C56" s="243">
        <f>VLOOKUP($A$11,'[1]6.2. отчет'!$D:$FX,171,0)</f>
        <v>5.3</v>
      </c>
      <c r="D56" s="243">
        <v>4.84</v>
      </c>
      <c r="E56" s="243">
        <f t="shared" si="1"/>
        <v>10.14</v>
      </c>
      <c r="F56" s="243">
        <f t="shared" si="2"/>
        <v>5.3</v>
      </c>
      <c r="G56" s="243">
        <f>VLOOKUP($A$11,'[1]6.2. отчет'!$D:$GJ,183,0)</f>
        <v>4.84</v>
      </c>
      <c r="H56" s="243">
        <f>VLOOKUP($A$11,'[1]6.2. отчет'!$D:$AGO,194,0)</f>
        <v>0</v>
      </c>
      <c r="I56" s="243">
        <f>VLOOKUP($A$11,'[1]6.2. отчет'!$D:$AGO,249,0)</f>
        <v>0</v>
      </c>
      <c r="J56" s="243">
        <f>VLOOKUP($A$11,'[1]6.2. отчет'!$D:$AGO,260,0)</f>
        <v>0</v>
      </c>
      <c r="K56" s="243">
        <f>VLOOKUP($A$11,'[1]6.2. отчет'!$D:$AGO,315,0)</f>
        <v>0</v>
      </c>
    </row>
    <row r="57" spans="1:11" ht="18.75" x14ac:dyDescent="0.25">
      <c r="A57" s="59" t="s">
        <v>53</v>
      </c>
      <c r="B57" s="245" t="s">
        <v>47</v>
      </c>
      <c r="C57" s="243">
        <f>VLOOKUP($A$11,'[1]6.2. отчет'!$D:$FX,177,0)</f>
        <v>0</v>
      </c>
      <c r="D57" s="243">
        <v>0</v>
      </c>
      <c r="E57" s="243">
        <f t="shared" si="1"/>
        <v>0</v>
      </c>
      <c r="F57" s="243">
        <f t="shared" si="2"/>
        <v>0</v>
      </c>
      <c r="G57" s="243">
        <f>VLOOKUP($A$11,'[1]6.2. отчет'!$D:$GJ,189,0)</f>
        <v>0</v>
      </c>
      <c r="H57" s="243">
        <f>VLOOKUP($A$11,'[1]6.2. отчет'!$D:$AGO,200,0)</f>
        <v>0</v>
      </c>
      <c r="I57" s="243">
        <f>VLOOKUP($A$11,'[1]6.2. отчет'!$D:$AGO,255,0)</f>
        <v>0</v>
      </c>
      <c r="J57" s="243">
        <f>VLOOKUP($A$11,'[1]6.2. отчет'!$D:$AGO,266,0)</f>
        <v>0</v>
      </c>
      <c r="K57" s="243">
        <f>VLOOKUP($A$11,'[1]6.2. отчет'!$D:$AGO,321,0)</f>
        <v>0</v>
      </c>
    </row>
    <row r="58" spans="1:11" ht="36.75" customHeight="1" x14ac:dyDescent="0.25">
      <c r="A58" s="61" t="s">
        <v>12</v>
      </c>
      <c r="B58" s="246" t="s">
        <v>149</v>
      </c>
      <c r="C58" s="243"/>
      <c r="D58" s="243"/>
      <c r="E58" s="243"/>
      <c r="F58" s="243">
        <f t="shared" si="2"/>
        <v>0</v>
      </c>
      <c r="G58" s="243"/>
      <c r="H58" s="243"/>
      <c r="I58" s="244"/>
      <c r="J58" s="243"/>
      <c r="K58" s="244"/>
    </row>
    <row r="59" spans="1:11" x14ac:dyDescent="0.25">
      <c r="A59" s="61" t="s">
        <v>10</v>
      </c>
      <c r="B59" s="60" t="s">
        <v>52</v>
      </c>
      <c r="C59" s="243"/>
      <c r="D59" s="243"/>
      <c r="E59" s="243"/>
      <c r="F59" s="243">
        <f t="shared" si="2"/>
        <v>0</v>
      </c>
      <c r="G59" s="243"/>
      <c r="H59" s="243"/>
      <c r="I59" s="244"/>
      <c r="J59" s="243"/>
      <c r="K59" s="244"/>
    </row>
    <row r="60" spans="1:11" x14ac:dyDescent="0.25">
      <c r="A60" s="59" t="s">
        <v>143</v>
      </c>
      <c r="B60" s="247" t="s">
        <v>73</v>
      </c>
      <c r="C60" s="243">
        <f>VLOOKUP($A$11,'[1]6.2. отчет'!$D:$AGO,326,0)</f>
        <v>0</v>
      </c>
      <c r="D60" s="243">
        <v>0</v>
      </c>
      <c r="E60" s="243">
        <f>F60+G60</f>
        <v>0</v>
      </c>
      <c r="F60" s="243">
        <f t="shared" si="2"/>
        <v>0</v>
      </c>
      <c r="G60" s="243">
        <f>VLOOKUP($A$11,'[1]6.2. отчет'!$D:$AGO,333,0)</f>
        <v>0</v>
      </c>
      <c r="H60" s="243">
        <f>VLOOKUP($A$11,'[1]6.2. отчет'!$D:$AGO,341,0)</f>
        <v>0</v>
      </c>
      <c r="I60" s="243">
        <f>VLOOKUP($A$11,'[1]6.2. отчет'!$D:$AGO,366,0)</f>
        <v>0</v>
      </c>
      <c r="J60" s="243">
        <f>VLOOKUP($A$11,'[1]6.2. отчет'!$D:$AGO,371,0)</f>
        <v>0</v>
      </c>
      <c r="K60" s="243">
        <f>VLOOKUP($A$11,'[1]6.2. отчет'!$D:$AGO,396,0)</f>
        <v>0</v>
      </c>
    </row>
    <row r="61" spans="1:11" x14ac:dyDescent="0.25">
      <c r="A61" s="59" t="s">
        <v>144</v>
      </c>
      <c r="B61" s="247" t="s">
        <v>71</v>
      </c>
      <c r="C61" s="243">
        <f>VLOOKUP($A$11,'[1]6.2. отчет'!$D:$AGO,327,0)</f>
        <v>0</v>
      </c>
      <c r="D61" s="243">
        <v>0</v>
      </c>
      <c r="E61" s="243">
        <f>F61+G61</f>
        <v>0</v>
      </c>
      <c r="F61" s="243">
        <f t="shared" si="2"/>
        <v>0</v>
      </c>
      <c r="G61" s="243">
        <f>VLOOKUP($A$11,'[1]6.2. отчет'!$D:$AGO,334,0)</f>
        <v>0</v>
      </c>
      <c r="H61" s="243">
        <f>VLOOKUP($A$11,'[1]6.2. отчет'!$D:$AGO,338,0)</f>
        <v>0</v>
      </c>
      <c r="I61" s="243">
        <f>VLOOKUP($A$11,'[1]6.2. отчет'!$D:$AGO,363,0)</f>
        <v>0</v>
      </c>
      <c r="J61" s="243">
        <f>VLOOKUP($A$11,'[1]6.2. отчет'!$D:$AGO,368,0)</f>
        <v>0</v>
      </c>
      <c r="K61" s="243">
        <f>VLOOKUP($A$11,'[1]6.2. отчет'!$D:$AGO,393,0)</f>
        <v>0</v>
      </c>
    </row>
    <row r="62" spans="1:11" x14ac:dyDescent="0.25">
      <c r="A62" s="59" t="s">
        <v>145</v>
      </c>
      <c r="B62" s="247" t="s">
        <v>69</v>
      </c>
      <c r="C62" s="243">
        <f>VLOOKUP($A$11,'[1]6.2. отчет'!$D:$AGO,328,0)</f>
        <v>0</v>
      </c>
      <c r="D62" s="243">
        <v>0</v>
      </c>
      <c r="E62" s="243">
        <f>F62+G62</f>
        <v>0</v>
      </c>
      <c r="F62" s="243">
        <f t="shared" si="2"/>
        <v>0</v>
      </c>
      <c r="G62" s="243">
        <f>VLOOKUP($A$11,'[1]6.2. отчет'!$D:$AGO,335,0)</f>
        <v>0</v>
      </c>
      <c r="H62" s="243">
        <f>VLOOKUP($A$11,'[1]6.2. отчет'!$D:$AGO,339,0)</f>
        <v>0</v>
      </c>
      <c r="I62" s="243">
        <f>VLOOKUP($A$11,'[1]6.2. отчет'!$D:$AGO,364,0)</f>
        <v>0</v>
      </c>
      <c r="J62" s="243">
        <f>VLOOKUP($A$11,'[1]6.2. отчет'!$D:$AGO,369,0)</f>
        <v>0</v>
      </c>
      <c r="K62" s="243">
        <f>VLOOKUP($A$11,'[1]6.2. отчет'!$D:$AGO,394,0)</f>
        <v>0</v>
      </c>
    </row>
    <row r="63" spans="1:11" x14ac:dyDescent="0.25">
      <c r="A63" s="59" t="s">
        <v>146</v>
      </c>
      <c r="B63" s="247" t="s">
        <v>148</v>
      </c>
      <c r="C63" s="243">
        <f>VLOOKUP($A$11,'[1]6.2. отчет'!$D:$AGO,329,0)</f>
        <v>0</v>
      </c>
      <c r="D63" s="243">
        <v>0</v>
      </c>
      <c r="E63" s="243">
        <f>F63+G63</f>
        <v>0</v>
      </c>
      <c r="F63" s="243">
        <f t="shared" si="2"/>
        <v>0</v>
      </c>
      <c r="G63" s="243">
        <f>VLOOKUP($A$11,'[1]6.2. отчет'!$D:$AGO,336,0)</f>
        <v>0</v>
      </c>
      <c r="H63" s="243">
        <f>VLOOKUP($A$11,'[1]6.2. отчет'!$D:$AGO,340,0)</f>
        <v>0</v>
      </c>
      <c r="I63" s="243">
        <f>VLOOKUP($A$11,'[1]6.2. отчет'!$D:$AGO,365,0)</f>
        <v>0</v>
      </c>
      <c r="J63" s="243">
        <f>VLOOKUP($A$11,'[1]6.2. отчет'!$D:$AGO,370,0)</f>
        <v>0</v>
      </c>
      <c r="K63" s="243">
        <f>VLOOKUP($A$11,'[1]6.2. отчет'!$D:$AGO,395,0)</f>
        <v>0</v>
      </c>
    </row>
    <row r="64" spans="1:11" ht="18.75" x14ac:dyDescent="0.25">
      <c r="A64" s="59" t="s">
        <v>147</v>
      </c>
      <c r="B64" s="245" t="s">
        <v>47</v>
      </c>
      <c r="C64" s="243">
        <f>VLOOKUP($A$11,'[1]6.2. отчет'!$D:$AGO,330,0)</f>
        <v>0</v>
      </c>
      <c r="D64" s="243">
        <v>0</v>
      </c>
      <c r="E64" s="243">
        <f>F64+G64</f>
        <v>0</v>
      </c>
      <c r="F64" s="243">
        <f t="shared" si="2"/>
        <v>0</v>
      </c>
      <c r="G64" s="243">
        <f>VLOOKUP($A$11,'[1]6.2. отчет'!$D:$AGO,337,0)</f>
        <v>0</v>
      </c>
      <c r="H64" s="243">
        <f>VLOOKUP($A$11,'[1]6.2. отчет'!$D:$AGO,342,0)</f>
        <v>0</v>
      </c>
      <c r="I64" s="243">
        <f>VLOOKUP($A$11,'[1]6.2. отчет'!$D:$AGO,367,0)</f>
        <v>0</v>
      </c>
      <c r="J64" s="243">
        <f>VLOOKUP($A$11,'[1]6.2. отчет'!$D:$AGO,372,0)</f>
        <v>0</v>
      </c>
      <c r="K64" s="243">
        <f>VLOOKUP($A$11,'[1]6.2. отчет'!$D:$AGO,396,0)</f>
        <v>0</v>
      </c>
    </row>
    <row r="65" spans="1:11" x14ac:dyDescent="0.25">
      <c r="A65" s="56"/>
      <c r="B65" s="57"/>
      <c r="C65" s="87"/>
      <c r="D65" s="87"/>
      <c r="E65" s="87"/>
      <c r="F65" s="87"/>
      <c r="G65" s="87"/>
      <c r="H65" s="87"/>
      <c r="I65" s="57"/>
      <c r="J65" s="57"/>
      <c r="K65" s="57"/>
    </row>
    <row r="66" spans="1:11" ht="54" customHeight="1" x14ac:dyDescent="0.25">
      <c r="A66" s="49"/>
      <c r="B66" s="327"/>
      <c r="C66" s="327"/>
      <c r="D66" s="327"/>
      <c r="E66" s="327"/>
      <c r="F66" s="327"/>
      <c r="G66" s="327"/>
      <c r="H66" s="327"/>
      <c r="I66" s="327"/>
      <c r="J66" s="53"/>
      <c r="K66" s="53"/>
    </row>
    <row r="67" spans="1:11" x14ac:dyDescent="0.25">
      <c r="A67" s="49"/>
      <c r="B67" s="49"/>
      <c r="C67" s="49"/>
      <c r="D67" s="49"/>
      <c r="E67" s="49"/>
      <c r="F67" s="49"/>
    </row>
    <row r="68" spans="1:11" ht="50.25" customHeight="1" x14ac:dyDescent="0.25">
      <c r="A68" s="49"/>
      <c r="B68" s="328"/>
      <c r="C68" s="328"/>
      <c r="D68" s="328"/>
      <c r="E68" s="328"/>
      <c r="F68" s="328"/>
      <c r="G68" s="328"/>
      <c r="H68" s="328"/>
      <c r="I68" s="328"/>
      <c r="J68" s="54"/>
      <c r="K68" s="54"/>
    </row>
    <row r="69" spans="1:11" x14ac:dyDescent="0.25">
      <c r="A69" s="49"/>
      <c r="B69" s="49"/>
      <c r="C69" s="49"/>
      <c r="D69" s="49"/>
      <c r="E69" s="49"/>
      <c r="F69" s="49"/>
    </row>
    <row r="70" spans="1:11" ht="36.75" customHeight="1" x14ac:dyDescent="0.25">
      <c r="A70" s="49"/>
      <c r="B70" s="327"/>
      <c r="C70" s="327"/>
      <c r="D70" s="327"/>
      <c r="E70" s="327"/>
      <c r="F70" s="327"/>
      <c r="G70" s="327"/>
      <c r="H70" s="327"/>
      <c r="I70" s="327"/>
      <c r="J70" s="53"/>
      <c r="K70" s="53"/>
    </row>
    <row r="71" spans="1:11" x14ac:dyDescent="0.25">
      <c r="A71" s="49"/>
      <c r="B71" s="55"/>
      <c r="C71" s="55"/>
      <c r="D71" s="55"/>
      <c r="E71" s="55"/>
      <c r="F71" s="55"/>
    </row>
    <row r="72" spans="1:11" ht="51" customHeight="1" x14ac:dyDescent="0.25">
      <c r="A72" s="49"/>
      <c r="B72" s="327"/>
      <c r="C72" s="327"/>
      <c r="D72" s="327"/>
      <c r="E72" s="327"/>
      <c r="F72" s="327"/>
      <c r="G72" s="327"/>
      <c r="H72" s="327"/>
      <c r="I72" s="327"/>
      <c r="J72" s="53"/>
      <c r="K72" s="53"/>
    </row>
    <row r="73" spans="1:11" ht="32.25" customHeight="1" x14ac:dyDescent="0.25">
      <c r="A73" s="49"/>
      <c r="B73" s="328"/>
      <c r="C73" s="328"/>
      <c r="D73" s="328"/>
      <c r="E73" s="328"/>
      <c r="F73" s="328"/>
      <c r="G73" s="328"/>
      <c r="H73" s="328"/>
      <c r="I73" s="328"/>
      <c r="J73" s="54"/>
      <c r="K73" s="54"/>
    </row>
    <row r="74" spans="1:11" ht="51.75" customHeight="1" x14ac:dyDescent="0.25">
      <c r="A74" s="49"/>
      <c r="B74" s="327"/>
      <c r="C74" s="327"/>
      <c r="D74" s="327"/>
      <c r="E74" s="327"/>
      <c r="F74" s="327"/>
      <c r="G74" s="327"/>
      <c r="H74" s="327"/>
      <c r="I74" s="327"/>
      <c r="J74" s="53"/>
      <c r="K74" s="53"/>
    </row>
    <row r="75" spans="1:11" ht="21.75" customHeight="1" x14ac:dyDescent="0.25">
      <c r="A75" s="49"/>
      <c r="B75" s="329"/>
      <c r="C75" s="329"/>
      <c r="D75" s="329"/>
      <c r="E75" s="329"/>
      <c r="F75" s="329"/>
      <c r="G75" s="329"/>
      <c r="H75" s="329"/>
      <c r="I75" s="329"/>
      <c r="J75" s="52"/>
      <c r="K75" s="52"/>
    </row>
    <row r="76" spans="1:11" ht="23.25" customHeight="1" x14ac:dyDescent="0.25">
      <c r="A76" s="49"/>
      <c r="B76" s="51"/>
      <c r="C76" s="51"/>
      <c r="D76" s="51"/>
      <c r="E76" s="51"/>
      <c r="F76" s="51"/>
    </row>
    <row r="77" spans="1:11" ht="18.75" customHeight="1" x14ac:dyDescent="0.25">
      <c r="A77" s="49"/>
      <c r="B77" s="326"/>
      <c r="C77" s="326"/>
      <c r="D77" s="326"/>
      <c r="E77" s="326"/>
      <c r="F77" s="326"/>
      <c r="G77" s="326"/>
      <c r="H77" s="326"/>
      <c r="I77" s="326"/>
      <c r="J77" s="50"/>
      <c r="K77" s="50"/>
    </row>
    <row r="78" spans="1:11" x14ac:dyDescent="0.25">
      <c r="A78" s="49"/>
      <c r="B78" s="49"/>
      <c r="C78" s="49"/>
      <c r="D78" s="49"/>
      <c r="E78" s="49"/>
      <c r="F78" s="49"/>
    </row>
    <row r="79" spans="1:11" x14ac:dyDescent="0.25">
      <c r="A79" s="49"/>
      <c r="B79" s="49"/>
      <c r="C79" s="49"/>
      <c r="D79" s="49"/>
      <c r="E79" s="49"/>
      <c r="F79" s="49"/>
    </row>
    <row r="80" spans="1:11" x14ac:dyDescent="0.25">
      <c r="G80" s="48"/>
      <c r="H80" s="48"/>
      <c r="I80" s="48"/>
      <c r="J80" s="48"/>
      <c r="K80" s="48"/>
    </row>
    <row r="81" spans="7:11" x14ac:dyDescent="0.25">
      <c r="G81" s="48"/>
      <c r="H81" s="48"/>
      <c r="I81" s="48"/>
      <c r="J81" s="48"/>
      <c r="K81" s="48"/>
    </row>
    <row r="82" spans="7:11" x14ac:dyDescent="0.25">
      <c r="G82" s="48"/>
      <c r="H82" s="48"/>
      <c r="I82" s="48"/>
      <c r="J82" s="48"/>
      <c r="K82" s="48"/>
    </row>
    <row r="83" spans="7:11" x14ac:dyDescent="0.25">
      <c r="G83" s="48"/>
      <c r="H83" s="48"/>
      <c r="I83" s="48"/>
      <c r="J83" s="48"/>
      <c r="K83" s="48"/>
    </row>
    <row r="84" spans="7:11" x14ac:dyDescent="0.25">
      <c r="G84" s="48"/>
      <c r="H84" s="48"/>
      <c r="I84" s="48"/>
      <c r="J84" s="48"/>
      <c r="K84" s="48"/>
    </row>
    <row r="85" spans="7:11" x14ac:dyDescent="0.25">
      <c r="G85" s="48"/>
      <c r="H85" s="48"/>
      <c r="I85" s="48"/>
      <c r="J85" s="48"/>
      <c r="K85" s="48"/>
    </row>
    <row r="86" spans="7:11" x14ac:dyDescent="0.25">
      <c r="G86" s="48"/>
      <c r="H86" s="48"/>
      <c r="I86" s="48"/>
      <c r="J86" s="48"/>
      <c r="K86" s="48"/>
    </row>
    <row r="87" spans="7:11" x14ac:dyDescent="0.25">
      <c r="G87" s="48"/>
      <c r="H87" s="48"/>
      <c r="I87" s="48"/>
      <c r="J87" s="48"/>
      <c r="K87" s="48"/>
    </row>
    <row r="88" spans="7:11" x14ac:dyDescent="0.25">
      <c r="G88" s="48"/>
      <c r="H88" s="48"/>
      <c r="I88" s="48"/>
      <c r="J88" s="48"/>
      <c r="K88" s="48"/>
    </row>
    <row r="89" spans="7:11" x14ac:dyDescent="0.25">
      <c r="G89" s="48"/>
      <c r="H89" s="48"/>
      <c r="I89" s="48"/>
      <c r="J89" s="48"/>
      <c r="K89" s="48"/>
    </row>
    <row r="90" spans="7:11" x14ac:dyDescent="0.25">
      <c r="G90" s="48"/>
      <c r="H90" s="48"/>
      <c r="I90" s="48"/>
      <c r="J90" s="48"/>
      <c r="K90" s="48"/>
    </row>
    <row r="91" spans="7:11" x14ac:dyDescent="0.25">
      <c r="G91" s="48"/>
      <c r="H91" s="48"/>
      <c r="I91" s="48"/>
      <c r="J91" s="48"/>
      <c r="K91" s="48"/>
    </row>
    <row r="92" spans="7:11" x14ac:dyDescent="0.25">
      <c r="G92" s="48"/>
      <c r="H92" s="48"/>
      <c r="I92" s="48"/>
      <c r="J92" s="48"/>
      <c r="K92" s="48"/>
    </row>
  </sheetData>
  <mergeCells count="26">
    <mergeCell ref="A14:K14"/>
    <mergeCell ref="A15:K15"/>
    <mergeCell ref="G20:G22"/>
    <mergeCell ref="H21:I21"/>
    <mergeCell ref="A18:K18"/>
    <mergeCell ref="A16:K16"/>
    <mergeCell ref="A20:A22"/>
    <mergeCell ref="B20:B22"/>
    <mergeCell ref="J21:K21"/>
    <mergeCell ref="C20:D21"/>
    <mergeCell ref="E20:F21"/>
    <mergeCell ref="H20:K20"/>
    <mergeCell ref="A4:K4"/>
    <mergeCell ref="A12:K12"/>
    <mergeCell ref="A9:K9"/>
    <mergeCell ref="A11:K11"/>
    <mergeCell ref="A8:K8"/>
    <mergeCell ref="A6:K6"/>
    <mergeCell ref="B77:I77"/>
    <mergeCell ref="B66:I66"/>
    <mergeCell ref="B68:I68"/>
    <mergeCell ref="B70:I70"/>
    <mergeCell ref="B72:I72"/>
    <mergeCell ref="B73:I73"/>
    <mergeCell ref="B75:I75"/>
    <mergeCell ref="B74:I74"/>
  </mergeCells>
  <phoneticPr fontId="46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32"/>
  <sheetViews>
    <sheetView view="pageBreakPreview" topLeftCell="AD16" zoomScale="70" zoomScaleNormal="100" zoomScaleSheetLayoutView="70" workbookViewId="0">
      <selection activeCell="O37" sqref="O37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5.85546875" style="133" customWidth="1"/>
    <col min="14" max="14" width="63.85546875" style="133" customWidth="1"/>
    <col min="15" max="15" width="19.140625" style="133" customWidth="1"/>
    <col min="16" max="16" width="16.28515625" style="133" customWidth="1"/>
    <col min="17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3" width="16" style="133" customWidth="1"/>
    <col min="24" max="24" width="12.28515625" style="133" customWidth="1"/>
    <col min="25" max="25" width="14.140625" style="133" customWidth="1"/>
    <col min="26" max="26" width="7.7109375" style="133" customWidth="1"/>
    <col min="27" max="27" width="14.5703125" style="133" customWidth="1"/>
    <col min="28" max="28" width="13.5703125" style="133" customWidth="1"/>
    <col min="29" max="29" width="13.42578125" style="133" customWidth="1"/>
    <col min="30" max="30" width="14.140625" style="133" customWidth="1"/>
    <col min="31" max="31" width="19.5703125" style="133" customWidth="1"/>
    <col min="32" max="32" width="13.42578125" style="133" customWidth="1"/>
    <col min="33" max="33" width="14.28515625" style="133" customWidth="1"/>
    <col min="34" max="34" width="21.140625" style="133" customWidth="1"/>
    <col min="35" max="35" width="12.42578125" style="133" customWidth="1"/>
    <col min="36" max="36" width="14.5703125" style="133" customWidth="1"/>
    <col min="37" max="37" width="19.7109375" style="133" customWidth="1"/>
    <col min="38" max="38" width="14.7109375" style="133" customWidth="1"/>
    <col min="39" max="39" width="18.42578125" style="133" customWidth="1"/>
    <col min="40" max="40" width="13" style="133" customWidth="1"/>
    <col min="41" max="41" width="12.5703125" style="133" customWidth="1"/>
    <col min="42" max="42" width="16.28515625" style="133" customWidth="1"/>
    <col min="43" max="43" width="12.85546875" style="133" customWidth="1"/>
    <col min="44" max="47" width="17.7109375" style="133" customWidth="1"/>
    <col min="48" max="48" width="27.85546875" style="133" customWidth="1"/>
    <col min="49" max="16384" width="9.140625" style="133"/>
  </cols>
  <sheetData>
    <row r="5" spans="1:41" ht="18.75" customHeight="1" x14ac:dyDescent="0.25">
      <c r="A5" s="366" t="str">
        <f>'1. паспорт местоположение'!$A$5</f>
        <v>Год раскрытия информации: 2019 год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</row>
    <row r="7" spans="1:41" ht="18.75" x14ac:dyDescent="0.25">
      <c r="A7" s="367" t="s">
        <v>5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</row>
    <row r="8" spans="1:41" ht="18.75" x14ac:dyDescent="0.25">
      <c r="A8" s="367"/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  <c r="AJ8" s="367"/>
      <c r="AK8" s="367"/>
      <c r="AL8" s="367"/>
      <c r="AM8" s="367"/>
      <c r="AN8" s="367"/>
      <c r="AO8" s="367"/>
    </row>
    <row r="9" spans="1:41" ht="15.75" x14ac:dyDescent="0.25">
      <c r="A9" s="368" t="s">
        <v>293</v>
      </c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AI9" s="368"/>
      <c r="AJ9" s="368"/>
      <c r="AK9" s="368"/>
      <c r="AL9" s="368"/>
      <c r="AM9" s="368"/>
      <c r="AN9" s="368"/>
      <c r="AO9" s="368"/>
    </row>
    <row r="10" spans="1:41" ht="15.75" x14ac:dyDescent="0.25">
      <c r="A10" s="369" t="s">
        <v>4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69"/>
      <c r="AD10" s="369"/>
      <c r="AE10" s="369"/>
      <c r="AF10" s="369"/>
      <c r="AG10" s="369"/>
      <c r="AH10" s="369"/>
      <c r="AI10" s="369"/>
      <c r="AJ10" s="369"/>
      <c r="AK10" s="369"/>
      <c r="AL10" s="369"/>
      <c r="AM10" s="369"/>
      <c r="AN10" s="369"/>
      <c r="AO10" s="369"/>
    </row>
    <row r="11" spans="1:41" ht="18.75" x14ac:dyDescent="0.25">
      <c r="A11" s="367"/>
      <c r="B11" s="367"/>
      <c r="C11" s="367"/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367"/>
      <c r="AE11" s="367"/>
      <c r="AF11" s="367"/>
      <c r="AG11" s="367"/>
      <c r="AH11" s="367"/>
      <c r="AI11" s="367"/>
      <c r="AJ11" s="367"/>
      <c r="AK11" s="367"/>
      <c r="AL11" s="367"/>
      <c r="AM11" s="367"/>
      <c r="AN11" s="367"/>
      <c r="AO11" s="367"/>
    </row>
    <row r="12" spans="1:41" ht="15.75" x14ac:dyDescent="0.25">
      <c r="A12" s="368" t="str">
        <f>'1. паспорт местоположение'!A12:C12</f>
        <v>I_Che149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</row>
    <row r="13" spans="1:41" ht="15.75" x14ac:dyDescent="0.25">
      <c r="A13" s="369" t="s">
        <v>3</v>
      </c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  <c r="AI13" s="369"/>
      <c r="AJ13" s="369"/>
      <c r="AK13" s="369"/>
      <c r="AL13" s="369"/>
      <c r="AM13" s="369"/>
      <c r="AN13" s="369"/>
      <c r="AO13" s="369"/>
    </row>
    <row r="14" spans="1:41" ht="18.75" x14ac:dyDescent="0.25">
      <c r="A14" s="370"/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70"/>
      <c r="AL14" s="370"/>
      <c r="AM14" s="370"/>
      <c r="AN14" s="370"/>
      <c r="AO14" s="370"/>
    </row>
    <row r="15" spans="1:41" ht="15.75" x14ac:dyDescent="0.25">
      <c r="A15" s="368" t="str">
        <f>'1. паспорт местоположение'!A15:C15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8"/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8"/>
      <c r="AK15" s="368"/>
      <c r="AL15" s="368"/>
      <c r="AM15" s="368"/>
      <c r="AN15" s="368"/>
      <c r="AO15" s="368"/>
    </row>
    <row r="16" spans="1:41" ht="15.75" x14ac:dyDescent="0.25">
      <c r="A16" s="369" t="s">
        <v>2</v>
      </c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  <c r="AI16" s="369"/>
      <c r="AJ16" s="369"/>
      <c r="AK16" s="369"/>
      <c r="AL16" s="369"/>
      <c r="AM16" s="369"/>
      <c r="AN16" s="369"/>
      <c r="AO16" s="369"/>
    </row>
    <row r="17" spans="1:48" x14ac:dyDescent="0.25">
      <c r="A17" s="358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</row>
    <row r="18" spans="1:48" ht="14.25" customHeight="1" x14ac:dyDescent="0.25">
      <c r="A18" s="358"/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  <c r="O18" s="358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8"/>
      <c r="AB18" s="358"/>
      <c r="AC18" s="358"/>
      <c r="AD18" s="358"/>
      <c r="AE18" s="358"/>
      <c r="AF18" s="358"/>
      <c r="AG18" s="358"/>
      <c r="AH18" s="358"/>
      <c r="AI18" s="358"/>
      <c r="AJ18" s="358"/>
      <c r="AK18" s="358"/>
      <c r="AL18" s="358"/>
      <c r="AM18" s="358"/>
      <c r="AN18" s="358"/>
      <c r="AO18" s="358"/>
    </row>
    <row r="19" spans="1:48" x14ac:dyDescent="0.25">
      <c r="A19" s="358"/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358"/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</row>
    <row r="20" spans="1:48" x14ac:dyDescent="0.25">
      <c r="A20" s="358"/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358"/>
    </row>
    <row r="21" spans="1:48" x14ac:dyDescent="0.25">
      <c r="A21" s="362" t="s">
        <v>394</v>
      </c>
      <c r="B21" s="362"/>
      <c r="C21" s="362"/>
      <c r="D21" s="362"/>
      <c r="E21" s="362"/>
      <c r="F21" s="362"/>
      <c r="G21" s="362"/>
      <c r="H21" s="362"/>
      <c r="I21" s="362"/>
      <c r="J21" s="362"/>
      <c r="K21" s="362"/>
      <c r="L21" s="362"/>
      <c r="M21" s="362"/>
      <c r="N21" s="362"/>
      <c r="O21" s="362"/>
      <c r="P21" s="362"/>
      <c r="Q21" s="362"/>
      <c r="R21" s="362"/>
      <c r="S21" s="362"/>
      <c r="T21" s="362"/>
      <c r="U21" s="362"/>
      <c r="V21" s="362"/>
      <c r="W21" s="362"/>
      <c r="X21" s="362"/>
      <c r="Y21" s="362"/>
      <c r="Z21" s="362"/>
      <c r="AA21" s="362"/>
      <c r="AB21" s="362"/>
      <c r="AC21" s="362"/>
      <c r="AD21" s="362"/>
      <c r="AE21" s="362"/>
      <c r="AF21" s="362"/>
      <c r="AG21" s="362"/>
      <c r="AH21" s="362"/>
      <c r="AI21" s="362"/>
      <c r="AJ21" s="362"/>
      <c r="AK21" s="362"/>
      <c r="AL21" s="362"/>
      <c r="AM21" s="362"/>
      <c r="AN21" s="362"/>
      <c r="AO21" s="362"/>
    </row>
    <row r="22" spans="1:48" s="175" customFormat="1" ht="58.5" customHeight="1" x14ac:dyDescent="0.25">
      <c r="A22" s="352" t="s">
        <v>395</v>
      </c>
      <c r="B22" s="363" t="s">
        <v>396</v>
      </c>
      <c r="C22" s="352" t="s">
        <v>397</v>
      </c>
      <c r="D22" s="352" t="s">
        <v>398</v>
      </c>
      <c r="E22" s="377" t="s">
        <v>399</v>
      </c>
      <c r="F22" s="378"/>
      <c r="G22" s="378"/>
      <c r="H22" s="378"/>
      <c r="I22" s="378"/>
      <c r="J22" s="378"/>
      <c r="K22" s="378"/>
      <c r="L22" s="379"/>
      <c r="M22" s="352" t="s">
        <v>400</v>
      </c>
      <c r="N22" s="352" t="s">
        <v>401</v>
      </c>
      <c r="O22" s="352" t="s">
        <v>402</v>
      </c>
      <c r="P22" s="357" t="s">
        <v>403</v>
      </c>
      <c r="Q22" s="357" t="s">
        <v>404</v>
      </c>
      <c r="R22" s="357" t="s">
        <v>405</v>
      </c>
      <c r="S22" s="357" t="s">
        <v>406</v>
      </c>
      <c r="T22" s="357"/>
      <c r="U22" s="372" t="s">
        <v>407</v>
      </c>
      <c r="V22" s="372" t="s">
        <v>408</v>
      </c>
      <c r="W22" s="357" t="s">
        <v>409</v>
      </c>
      <c r="X22" s="357" t="s">
        <v>410</v>
      </c>
      <c r="Y22" s="357" t="s">
        <v>411</v>
      </c>
      <c r="Z22" s="371" t="s">
        <v>412</v>
      </c>
      <c r="AA22" s="357" t="s">
        <v>413</v>
      </c>
      <c r="AB22" s="357" t="s">
        <v>414</v>
      </c>
      <c r="AC22" s="357" t="s">
        <v>415</v>
      </c>
      <c r="AD22" s="357" t="s">
        <v>416</v>
      </c>
      <c r="AE22" s="357" t="s">
        <v>417</v>
      </c>
      <c r="AF22" s="357" t="s">
        <v>418</v>
      </c>
      <c r="AG22" s="357"/>
      <c r="AH22" s="357"/>
      <c r="AI22" s="357"/>
      <c r="AJ22" s="357"/>
      <c r="AK22" s="357"/>
      <c r="AL22" s="357" t="s">
        <v>480</v>
      </c>
      <c r="AM22" s="357"/>
      <c r="AN22" s="357"/>
      <c r="AO22" s="357"/>
      <c r="AP22" s="357" t="s">
        <v>419</v>
      </c>
      <c r="AQ22" s="357"/>
      <c r="AR22" s="357" t="s">
        <v>420</v>
      </c>
      <c r="AS22" s="357" t="s">
        <v>421</v>
      </c>
      <c r="AT22" s="357" t="s">
        <v>422</v>
      </c>
      <c r="AU22" s="357" t="s">
        <v>423</v>
      </c>
      <c r="AV22" s="354" t="s">
        <v>424</v>
      </c>
    </row>
    <row r="23" spans="1:48" s="175" customFormat="1" ht="64.5" customHeight="1" x14ac:dyDescent="0.25">
      <c r="A23" s="359"/>
      <c r="B23" s="364"/>
      <c r="C23" s="359"/>
      <c r="D23" s="359"/>
      <c r="E23" s="360" t="s">
        <v>425</v>
      </c>
      <c r="F23" s="373" t="s">
        <v>51</v>
      </c>
      <c r="G23" s="373" t="s">
        <v>50</v>
      </c>
      <c r="H23" s="373" t="s">
        <v>49</v>
      </c>
      <c r="I23" s="375" t="s">
        <v>426</v>
      </c>
      <c r="J23" s="375" t="s">
        <v>427</v>
      </c>
      <c r="K23" s="375" t="s">
        <v>428</v>
      </c>
      <c r="L23" s="373" t="s">
        <v>387</v>
      </c>
      <c r="M23" s="359"/>
      <c r="N23" s="359"/>
      <c r="O23" s="359"/>
      <c r="P23" s="357"/>
      <c r="Q23" s="357"/>
      <c r="R23" s="357"/>
      <c r="S23" s="380" t="s">
        <v>0</v>
      </c>
      <c r="T23" s="380" t="s">
        <v>429</v>
      </c>
      <c r="U23" s="372"/>
      <c r="V23" s="372"/>
      <c r="W23" s="357"/>
      <c r="X23" s="357"/>
      <c r="Y23" s="357"/>
      <c r="Z23" s="357"/>
      <c r="AA23" s="357"/>
      <c r="AB23" s="357"/>
      <c r="AC23" s="357"/>
      <c r="AD23" s="357"/>
      <c r="AE23" s="357"/>
      <c r="AF23" s="357" t="s">
        <v>430</v>
      </c>
      <c r="AG23" s="357"/>
      <c r="AH23" s="357" t="s">
        <v>481</v>
      </c>
      <c r="AI23" s="357"/>
      <c r="AJ23" s="352" t="s">
        <v>482</v>
      </c>
      <c r="AK23" s="352" t="s">
        <v>431</v>
      </c>
      <c r="AL23" s="352" t="s">
        <v>483</v>
      </c>
      <c r="AM23" s="352" t="s">
        <v>484</v>
      </c>
      <c r="AN23" s="352" t="s">
        <v>485</v>
      </c>
      <c r="AO23" s="352" t="s">
        <v>486</v>
      </c>
      <c r="AP23" s="352" t="s">
        <v>432</v>
      </c>
      <c r="AQ23" s="355" t="s">
        <v>429</v>
      </c>
      <c r="AR23" s="357"/>
      <c r="AS23" s="357"/>
      <c r="AT23" s="357"/>
      <c r="AU23" s="357"/>
      <c r="AV23" s="354"/>
    </row>
    <row r="24" spans="1:48" s="175" customFormat="1" ht="96.75" customHeight="1" x14ac:dyDescent="0.25">
      <c r="A24" s="353"/>
      <c r="B24" s="365"/>
      <c r="C24" s="353"/>
      <c r="D24" s="353"/>
      <c r="E24" s="361"/>
      <c r="F24" s="374"/>
      <c r="G24" s="374"/>
      <c r="H24" s="374"/>
      <c r="I24" s="376"/>
      <c r="J24" s="376"/>
      <c r="K24" s="376"/>
      <c r="L24" s="374"/>
      <c r="M24" s="353"/>
      <c r="N24" s="353"/>
      <c r="O24" s="353"/>
      <c r="P24" s="357"/>
      <c r="Q24" s="357"/>
      <c r="R24" s="357"/>
      <c r="S24" s="381"/>
      <c r="T24" s="381"/>
      <c r="U24" s="372"/>
      <c r="V24" s="372"/>
      <c r="W24" s="357"/>
      <c r="X24" s="357"/>
      <c r="Y24" s="357"/>
      <c r="Z24" s="357"/>
      <c r="AA24" s="357"/>
      <c r="AB24" s="357"/>
      <c r="AC24" s="357"/>
      <c r="AD24" s="357"/>
      <c r="AE24" s="357"/>
      <c r="AF24" s="174" t="s">
        <v>433</v>
      </c>
      <c r="AG24" s="174" t="s">
        <v>434</v>
      </c>
      <c r="AH24" s="176" t="s">
        <v>0</v>
      </c>
      <c r="AI24" s="176" t="s">
        <v>429</v>
      </c>
      <c r="AJ24" s="353"/>
      <c r="AK24" s="353"/>
      <c r="AL24" s="353"/>
      <c r="AM24" s="353"/>
      <c r="AN24" s="353"/>
      <c r="AO24" s="353"/>
      <c r="AP24" s="353"/>
      <c r="AQ24" s="356"/>
      <c r="AR24" s="357"/>
      <c r="AS24" s="357"/>
      <c r="AT24" s="357"/>
      <c r="AU24" s="357"/>
      <c r="AV24" s="354"/>
    </row>
    <row r="25" spans="1:48" s="178" customFormat="1" ht="11.25" x14ac:dyDescent="0.2">
      <c r="A25" s="177">
        <v>1</v>
      </c>
      <c r="B25" s="177">
        <v>2</v>
      </c>
      <c r="C25" s="177">
        <v>4</v>
      </c>
      <c r="D25" s="177">
        <v>5</v>
      </c>
      <c r="E25" s="177">
        <v>6</v>
      </c>
      <c r="F25" s="177">
        <f t="shared" ref="F25:AV25" si="0">E25+1</f>
        <v>7</v>
      </c>
      <c r="G25" s="177">
        <f t="shared" si="0"/>
        <v>8</v>
      </c>
      <c r="H25" s="177">
        <f t="shared" si="0"/>
        <v>9</v>
      </c>
      <c r="I25" s="177">
        <f t="shared" si="0"/>
        <v>10</v>
      </c>
      <c r="J25" s="177">
        <f t="shared" si="0"/>
        <v>11</v>
      </c>
      <c r="K25" s="177">
        <f t="shared" si="0"/>
        <v>12</v>
      </c>
      <c r="L25" s="177">
        <f t="shared" si="0"/>
        <v>13</v>
      </c>
      <c r="M25" s="177">
        <f t="shared" si="0"/>
        <v>14</v>
      </c>
      <c r="N25" s="177">
        <f t="shared" si="0"/>
        <v>15</v>
      </c>
      <c r="O25" s="177">
        <f t="shared" si="0"/>
        <v>16</v>
      </c>
      <c r="P25" s="177">
        <f t="shared" si="0"/>
        <v>17</v>
      </c>
      <c r="Q25" s="177">
        <f t="shared" si="0"/>
        <v>18</v>
      </c>
      <c r="R25" s="177">
        <f t="shared" si="0"/>
        <v>19</v>
      </c>
      <c r="S25" s="177">
        <f t="shared" si="0"/>
        <v>20</v>
      </c>
      <c r="T25" s="177">
        <f t="shared" si="0"/>
        <v>21</v>
      </c>
      <c r="U25" s="177">
        <f t="shared" si="0"/>
        <v>22</v>
      </c>
      <c r="V25" s="177">
        <f t="shared" si="0"/>
        <v>23</v>
      </c>
      <c r="W25" s="177">
        <f t="shared" si="0"/>
        <v>24</v>
      </c>
      <c r="X25" s="177">
        <f t="shared" si="0"/>
        <v>25</v>
      </c>
      <c r="Y25" s="177">
        <f t="shared" si="0"/>
        <v>26</v>
      </c>
      <c r="Z25" s="177">
        <f t="shared" si="0"/>
        <v>27</v>
      </c>
      <c r="AA25" s="177">
        <f t="shared" si="0"/>
        <v>28</v>
      </c>
      <c r="AB25" s="177">
        <f t="shared" si="0"/>
        <v>29</v>
      </c>
      <c r="AC25" s="177">
        <f t="shared" si="0"/>
        <v>30</v>
      </c>
      <c r="AD25" s="177">
        <f t="shared" si="0"/>
        <v>31</v>
      </c>
      <c r="AE25" s="177">
        <f t="shared" si="0"/>
        <v>32</v>
      </c>
      <c r="AF25" s="177">
        <f t="shared" si="0"/>
        <v>33</v>
      </c>
      <c r="AG25" s="177">
        <f t="shared" si="0"/>
        <v>34</v>
      </c>
      <c r="AH25" s="177">
        <f t="shared" si="0"/>
        <v>35</v>
      </c>
      <c r="AI25" s="177">
        <f t="shared" si="0"/>
        <v>36</v>
      </c>
      <c r="AJ25" s="177">
        <f t="shared" si="0"/>
        <v>37</v>
      </c>
      <c r="AK25" s="177">
        <f t="shared" si="0"/>
        <v>38</v>
      </c>
      <c r="AL25" s="177">
        <f t="shared" si="0"/>
        <v>39</v>
      </c>
      <c r="AM25" s="177">
        <f t="shared" si="0"/>
        <v>40</v>
      </c>
      <c r="AN25" s="177">
        <f t="shared" si="0"/>
        <v>41</v>
      </c>
      <c r="AO25" s="177">
        <f t="shared" si="0"/>
        <v>42</v>
      </c>
      <c r="AP25" s="177">
        <f t="shared" si="0"/>
        <v>43</v>
      </c>
      <c r="AQ25" s="177">
        <f t="shared" si="0"/>
        <v>44</v>
      </c>
      <c r="AR25" s="177">
        <f t="shared" si="0"/>
        <v>45</v>
      </c>
      <c r="AS25" s="177">
        <f t="shared" si="0"/>
        <v>46</v>
      </c>
      <c r="AT25" s="177">
        <f t="shared" si="0"/>
        <v>47</v>
      </c>
      <c r="AU25" s="177">
        <f t="shared" si="0"/>
        <v>48</v>
      </c>
      <c r="AV25" s="177">
        <f t="shared" si="0"/>
        <v>49</v>
      </c>
    </row>
    <row r="26" spans="1:48" s="184" customFormat="1" ht="135.75" customHeight="1" x14ac:dyDescent="0.2">
      <c r="A26" s="179">
        <v>1</v>
      </c>
      <c r="B26" s="180" t="s">
        <v>293</v>
      </c>
      <c r="C26" s="198" t="s">
        <v>511</v>
      </c>
      <c r="D26" s="180" t="s">
        <v>487</v>
      </c>
      <c r="E26" s="180" t="s">
        <v>488</v>
      </c>
      <c r="F26" s="180" t="s">
        <v>488</v>
      </c>
      <c r="G26" s="180" t="s">
        <v>488</v>
      </c>
      <c r="H26" s="180" t="s">
        <v>488</v>
      </c>
      <c r="I26" s="180" t="s">
        <v>446</v>
      </c>
      <c r="J26" s="180" t="s">
        <v>488</v>
      </c>
      <c r="K26" s="180" t="s">
        <v>488</v>
      </c>
      <c r="L26" s="180" t="s">
        <v>488</v>
      </c>
      <c r="M26" s="181" t="s">
        <v>489</v>
      </c>
      <c r="N26" s="181" t="s">
        <v>475</v>
      </c>
      <c r="O26" s="181" t="s">
        <v>281</v>
      </c>
      <c r="P26" s="181" t="s">
        <v>476</v>
      </c>
      <c r="Q26" s="181" t="s">
        <v>439</v>
      </c>
      <c r="R26" s="181" t="s">
        <v>476</v>
      </c>
      <c r="S26" s="181" t="s">
        <v>444</v>
      </c>
      <c r="T26" s="181" t="s">
        <v>444</v>
      </c>
      <c r="U26" s="181" t="s">
        <v>15</v>
      </c>
      <c r="V26" s="181" t="s">
        <v>15</v>
      </c>
      <c r="W26" s="181" t="s">
        <v>490</v>
      </c>
      <c r="X26" s="181" t="s">
        <v>491</v>
      </c>
      <c r="Y26" s="181" t="s">
        <v>492</v>
      </c>
      <c r="Z26" s="181" t="s">
        <v>18</v>
      </c>
      <c r="AA26" s="181" t="s">
        <v>493</v>
      </c>
      <c r="AB26" s="181" t="s">
        <v>493</v>
      </c>
      <c r="AC26" s="181" t="s">
        <v>445</v>
      </c>
      <c r="AD26" s="182" t="s">
        <v>477</v>
      </c>
      <c r="AE26" s="182">
        <v>0</v>
      </c>
      <c r="AF26" s="181" t="s">
        <v>494</v>
      </c>
      <c r="AG26" s="183" t="s">
        <v>495</v>
      </c>
      <c r="AH26" s="181" t="s">
        <v>496</v>
      </c>
      <c r="AI26" s="181" t="s">
        <v>496</v>
      </c>
      <c r="AJ26" s="181" t="s">
        <v>497</v>
      </c>
      <c r="AK26" s="181" t="s">
        <v>478</v>
      </c>
      <c r="AL26" s="346" t="s">
        <v>498</v>
      </c>
      <c r="AM26" s="347"/>
      <c r="AN26" s="347"/>
      <c r="AO26" s="348"/>
      <c r="AP26" s="181" t="s">
        <v>479</v>
      </c>
      <c r="AQ26" s="181" t="s">
        <v>479</v>
      </c>
      <c r="AR26" s="181" t="s">
        <v>479</v>
      </c>
      <c r="AS26" s="181" t="s">
        <v>479</v>
      </c>
      <c r="AT26" s="181" t="s">
        <v>499</v>
      </c>
      <c r="AU26" s="181"/>
      <c r="AV26" s="199" t="s">
        <v>512</v>
      </c>
    </row>
    <row r="27" spans="1:48" s="190" customFormat="1" ht="47.25" x14ac:dyDescent="0.25">
      <c r="A27" s="179">
        <v>2</v>
      </c>
      <c r="B27" s="180" t="s">
        <v>293</v>
      </c>
      <c r="C27" s="198" t="s">
        <v>511</v>
      </c>
      <c r="D27" s="180" t="s">
        <v>487</v>
      </c>
      <c r="E27" s="180" t="s">
        <v>488</v>
      </c>
      <c r="F27" s="180" t="s">
        <v>488</v>
      </c>
      <c r="G27" s="180" t="s">
        <v>488</v>
      </c>
      <c r="H27" s="180" t="s">
        <v>488</v>
      </c>
      <c r="I27" s="180" t="s">
        <v>446</v>
      </c>
      <c r="J27" s="180" t="s">
        <v>488</v>
      </c>
      <c r="K27" s="180" t="s">
        <v>488</v>
      </c>
      <c r="L27" s="180" t="s">
        <v>488</v>
      </c>
      <c r="M27" s="181" t="s">
        <v>489</v>
      </c>
      <c r="N27" s="181" t="s">
        <v>475</v>
      </c>
      <c r="O27" s="346" t="s">
        <v>513</v>
      </c>
      <c r="P27" s="347"/>
      <c r="Q27" s="347"/>
      <c r="R27" s="347"/>
      <c r="S27" s="347"/>
      <c r="T27" s="347"/>
      <c r="U27" s="347"/>
      <c r="V27" s="347"/>
      <c r="W27" s="347"/>
      <c r="X27" s="347"/>
      <c r="Y27" s="347"/>
      <c r="Z27" s="347"/>
      <c r="AA27" s="347"/>
      <c r="AB27" s="347"/>
      <c r="AC27" s="348"/>
      <c r="AD27" s="200">
        <v>25594.193380000001</v>
      </c>
      <c r="AE27" s="182">
        <v>0</v>
      </c>
      <c r="AF27" s="181"/>
      <c r="AG27" s="183"/>
      <c r="AH27" s="181"/>
      <c r="AI27" s="181"/>
      <c r="AJ27" s="181"/>
      <c r="AK27" s="181"/>
      <c r="AL27" s="195"/>
      <c r="AM27" s="196"/>
      <c r="AN27" s="196"/>
      <c r="AO27" s="197"/>
      <c r="AP27" s="181" t="s">
        <v>514</v>
      </c>
      <c r="AQ27" s="181" t="s">
        <v>514</v>
      </c>
      <c r="AR27" s="181" t="s">
        <v>514</v>
      </c>
      <c r="AS27" s="181" t="s">
        <v>514</v>
      </c>
      <c r="AT27" s="181" t="s">
        <v>515</v>
      </c>
      <c r="AU27" s="181"/>
      <c r="AV27" s="199"/>
    </row>
    <row r="28" spans="1:48" s="193" customFormat="1" ht="40.5" customHeight="1" x14ac:dyDescent="0.25">
      <c r="A28" s="185">
        <v>3</v>
      </c>
      <c r="B28" s="181" t="s">
        <v>293</v>
      </c>
      <c r="C28" s="198" t="s">
        <v>511</v>
      </c>
      <c r="D28" s="180" t="s">
        <v>487</v>
      </c>
      <c r="E28" s="180" t="s">
        <v>488</v>
      </c>
      <c r="F28" s="180" t="s">
        <v>488</v>
      </c>
      <c r="G28" s="180" t="s">
        <v>488</v>
      </c>
      <c r="H28" s="180" t="s">
        <v>488</v>
      </c>
      <c r="I28" s="180" t="s">
        <v>446</v>
      </c>
      <c r="J28" s="180" t="s">
        <v>488</v>
      </c>
      <c r="K28" s="180" t="s">
        <v>488</v>
      </c>
      <c r="L28" s="180" t="s">
        <v>488</v>
      </c>
      <c r="M28" s="181" t="s">
        <v>489</v>
      </c>
      <c r="N28" s="186" t="s">
        <v>500</v>
      </c>
      <c r="O28" s="181" t="s">
        <v>281</v>
      </c>
      <c r="P28" s="187">
        <v>48060.525000000001</v>
      </c>
      <c r="Q28" s="181" t="s">
        <v>439</v>
      </c>
      <c r="R28" s="187">
        <v>48060.525000000001</v>
      </c>
      <c r="S28" s="181" t="s">
        <v>444</v>
      </c>
      <c r="T28" s="181" t="s">
        <v>444</v>
      </c>
      <c r="U28" s="186">
        <v>1</v>
      </c>
      <c r="V28" s="186">
        <v>1</v>
      </c>
      <c r="W28" s="186" t="s">
        <v>501</v>
      </c>
      <c r="X28" s="187">
        <v>47973.491000000002</v>
      </c>
      <c r="Y28" s="186" t="s">
        <v>502</v>
      </c>
      <c r="Z28" s="186" t="s">
        <v>502</v>
      </c>
      <c r="AA28" s="186" t="s">
        <v>502</v>
      </c>
      <c r="AB28" s="186" t="s">
        <v>502</v>
      </c>
      <c r="AC28" s="188" t="s">
        <v>503</v>
      </c>
      <c r="AD28" s="182">
        <v>56608.72</v>
      </c>
      <c r="AE28" s="182">
        <v>0</v>
      </c>
      <c r="AF28" s="186">
        <v>965653</v>
      </c>
      <c r="AG28" s="183" t="s">
        <v>495</v>
      </c>
      <c r="AH28" s="189">
        <v>43138</v>
      </c>
      <c r="AI28" s="189">
        <v>43138</v>
      </c>
      <c r="AJ28" s="189">
        <v>43150</v>
      </c>
      <c r="AK28" s="189">
        <v>43158</v>
      </c>
      <c r="AL28" s="186"/>
      <c r="AM28" s="186"/>
      <c r="AN28" s="186"/>
      <c r="AO28" s="186"/>
      <c r="AP28" s="189">
        <v>43171</v>
      </c>
      <c r="AQ28" s="189">
        <v>43171</v>
      </c>
      <c r="AR28" s="189">
        <v>43171</v>
      </c>
      <c r="AS28" s="189">
        <v>43171</v>
      </c>
      <c r="AT28" s="189">
        <v>43465</v>
      </c>
      <c r="AU28" s="186"/>
      <c r="AV28" s="186"/>
    </row>
    <row r="29" spans="1:48" ht="47.25" x14ac:dyDescent="0.25">
      <c r="A29" s="185">
        <v>4</v>
      </c>
      <c r="B29" s="181" t="s">
        <v>293</v>
      </c>
      <c r="C29" s="198" t="s">
        <v>511</v>
      </c>
      <c r="D29" s="180" t="s">
        <v>487</v>
      </c>
      <c r="E29" s="180" t="s">
        <v>488</v>
      </c>
      <c r="F29" s="180" t="s">
        <v>488</v>
      </c>
      <c r="G29" s="180" t="s">
        <v>488</v>
      </c>
      <c r="H29" s="180" t="s">
        <v>488</v>
      </c>
      <c r="I29" s="180" t="s">
        <v>446</v>
      </c>
      <c r="J29" s="180" t="s">
        <v>488</v>
      </c>
      <c r="K29" s="180" t="s">
        <v>488</v>
      </c>
      <c r="L29" s="180" t="s">
        <v>488</v>
      </c>
      <c r="M29" s="181" t="s">
        <v>489</v>
      </c>
      <c r="N29" s="188" t="s">
        <v>500</v>
      </c>
      <c r="O29" s="349" t="s">
        <v>504</v>
      </c>
      <c r="P29" s="350"/>
      <c r="Q29" s="350"/>
      <c r="R29" s="350"/>
      <c r="S29" s="350"/>
      <c r="T29" s="350"/>
      <c r="U29" s="350"/>
      <c r="V29" s="350"/>
      <c r="W29" s="350"/>
      <c r="X29" s="350"/>
      <c r="Y29" s="350"/>
      <c r="Z29" s="350"/>
      <c r="AA29" s="350"/>
      <c r="AB29" s="351"/>
      <c r="AC29" s="188" t="s">
        <v>503</v>
      </c>
      <c r="AD29" s="182">
        <v>82769.051990000007</v>
      </c>
      <c r="AE29" s="182">
        <v>-345.18736000000001</v>
      </c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2">
        <v>43416</v>
      </c>
      <c r="AQ29" s="192">
        <v>43416</v>
      </c>
      <c r="AR29" s="192">
        <v>43416</v>
      </c>
      <c r="AS29" s="192">
        <v>43416</v>
      </c>
      <c r="AT29" s="192">
        <v>43465</v>
      </c>
      <c r="AU29" s="191"/>
      <c r="AV29" s="191" t="s">
        <v>516</v>
      </c>
    </row>
    <row r="30" spans="1:48" ht="47.25" x14ac:dyDescent="0.25">
      <c r="A30" s="185">
        <v>5</v>
      </c>
      <c r="B30" s="181" t="s">
        <v>293</v>
      </c>
      <c r="C30" s="198" t="s">
        <v>511</v>
      </c>
      <c r="D30" s="180" t="s">
        <v>487</v>
      </c>
      <c r="E30" s="180" t="s">
        <v>488</v>
      </c>
      <c r="F30" s="180" t="s">
        <v>488</v>
      </c>
      <c r="G30" s="180" t="s">
        <v>488</v>
      </c>
      <c r="H30" s="180" t="s">
        <v>488</v>
      </c>
      <c r="I30" s="180" t="s">
        <v>446</v>
      </c>
      <c r="J30" s="180" t="s">
        <v>488</v>
      </c>
      <c r="K30" s="180" t="s">
        <v>488</v>
      </c>
      <c r="L30" s="180" t="s">
        <v>488</v>
      </c>
      <c r="M30" s="201" t="s">
        <v>517</v>
      </c>
      <c r="N30" s="202" t="s">
        <v>518</v>
      </c>
      <c r="O30" s="181" t="s">
        <v>281</v>
      </c>
      <c r="P30" s="340" t="s">
        <v>519</v>
      </c>
      <c r="Q30" s="341"/>
      <c r="R30" s="341"/>
      <c r="S30" s="341"/>
      <c r="T30" s="341"/>
      <c r="U30" s="341"/>
      <c r="V30" s="341"/>
      <c r="W30" s="341"/>
      <c r="X30" s="341"/>
      <c r="Y30" s="341"/>
      <c r="Z30" s="341"/>
      <c r="AA30" s="341"/>
      <c r="AB30" s="342"/>
      <c r="AC30" s="203" t="s">
        <v>520</v>
      </c>
      <c r="AD30" s="182">
        <v>95.25</v>
      </c>
      <c r="AE30" s="182">
        <v>95.25</v>
      </c>
      <c r="AF30" s="343" t="s">
        <v>521</v>
      </c>
      <c r="AG30" s="344"/>
      <c r="AH30" s="344"/>
      <c r="AI30" s="344"/>
      <c r="AJ30" s="344"/>
      <c r="AK30" s="345"/>
      <c r="AL30" s="202"/>
      <c r="AM30" s="202"/>
      <c r="AN30" s="202"/>
      <c r="AO30" s="202"/>
      <c r="AP30" s="204">
        <v>43437</v>
      </c>
      <c r="AQ30" s="204">
        <v>43437</v>
      </c>
      <c r="AR30" s="204">
        <v>43437</v>
      </c>
      <c r="AS30" s="204">
        <v>43437</v>
      </c>
      <c r="AT30" s="204">
        <v>43465</v>
      </c>
      <c r="AU30" s="202"/>
      <c r="AV30" s="202"/>
    </row>
    <row r="31" spans="1:48" ht="47.25" x14ac:dyDescent="0.25">
      <c r="A31" s="185">
        <v>6</v>
      </c>
      <c r="B31" s="181" t="s">
        <v>293</v>
      </c>
      <c r="C31" s="198" t="s">
        <v>511</v>
      </c>
      <c r="D31" s="180" t="s">
        <v>487</v>
      </c>
      <c r="E31" s="180" t="s">
        <v>488</v>
      </c>
      <c r="F31" s="180" t="s">
        <v>488</v>
      </c>
      <c r="G31" s="180" t="s">
        <v>488</v>
      </c>
      <c r="H31" s="180" t="s">
        <v>488</v>
      </c>
      <c r="I31" s="180" t="s">
        <v>446</v>
      </c>
      <c r="J31" s="180" t="s">
        <v>488</v>
      </c>
      <c r="K31" s="180" t="s">
        <v>488</v>
      </c>
      <c r="L31" s="180" t="s">
        <v>488</v>
      </c>
      <c r="M31" s="201" t="s">
        <v>517</v>
      </c>
      <c r="N31" s="202" t="s">
        <v>518</v>
      </c>
      <c r="O31" s="181" t="s">
        <v>281</v>
      </c>
      <c r="P31" s="340" t="s">
        <v>519</v>
      </c>
      <c r="Q31" s="341"/>
      <c r="R31" s="341"/>
      <c r="S31" s="341"/>
      <c r="T31" s="341"/>
      <c r="U31" s="341"/>
      <c r="V31" s="341"/>
      <c r="W31" s="341"/>
      <c r="X31" s="341"/>
      <c r="Y31" s="341"/>
      <c r="Z31" s="341"/>
      <c r="AA31" s="341"/>
      <c r="AB31" s="342"/>
      <c r="AC31" s="203" t="s">
        <v>520</v>
      </c>
      <c r="AD31" s="182">
        <v>77.404499999999999</v>
      </c>
      <c r="AE31" s="182">
        <v>77.404499999999999</v>
      </c>
      <c r="AF31" s="343" t="s">
        <v>521</v>
      </c>
      <c r="AG31" s="344"/>
      <c r="AH31" s="344"/>
      <c r="AI31" s="344"/>
      <c r="AJ31" s="344"/>
      <c r="AK31" s="345"/>
      <c r="AL31" s="202"/>
      <c r="AM31" s="202"/>
      <c r="AN31" s="202"/>
      <c r="AO31" s="202"/>
      <c r="AP31" s="204">
        <v>43430</v>
      </c>
      <c r="AQ31" s="204">
        <v>43430</v>
      </c>
      <c r="AR31" s="204">
        <v>43430</v>
      </c>
      <c r="AS31" s="204">
        <v>43430</v>
      </c>
      <c r="AT31" s="204">
        <v>43465</v>
      </c>
      <c r="AU31" s="202"/>
      <c r="AV31" s="202"/>
    </row>
    <row r="32" spans="1:48" ht="47.25" x14ac:dyDescent="0.25">
      <c r="A32" s="185">
        <v>7</v>
      </c>
      <c r="B32" s="181" t="s">
        <v>293</v>
      </c>
      <c r="C32" s="198" t="s">
        <v>511</v>
      </c>
      <c r="D32" s="180" t="s">
        <v>487</v>
      </c>
      <c r="E32" s="180" t="s">
        <v>488</v>
      </c>
      <c r="F32" s="180" t="s">
        <v>488</v>
      </c>
      <c r="G32" s="180" t="s">
        <v>488</v>
      </c>
      <c r="H32" s="180" t="s">
        <v>488</v>
      </c>
      <c r="I32" s="180" t="s">
        <v>446</v>
      </c>
      <c r="J32" s="180" t="s">
        <v>488</v>
      </c>
      <c r="K32" s="180" t="s">
        <v>488</v>
      </c>
      <c r="L32" s="180" t="s">
        <v>488</v>
      </c>
      <c r="M32" s="201" t="s">
        <v>517</v>
      </c>
      <c r="N32" s="202" t="s">
        <v>522</v>
      </c>
      <c r="O32" s="181" t="s">
        <v>281</v>
      </c>
      <c r="P32" s="340" t="s">
        <v>519</v>
      </c>
      <c r="Q32" s="341"/>
      <c r="R32" s="341"/>
      <c r="S32" s="341"/>
      <c r="T32" s="341"/>
      <c r="U32" s="341"/>
      <c r="V32" s="341"/>
      <c r="W32" s="341"/>
      <c r="X32" s="341"/>
      <c r="Y32" s="341"/>
      <c r="Z32" s="341"/>
      <c r="AA32" s="341"/>
      <c r="AB32" s="342"/>
      <c r="AC32" s="205" t="s">
        <v>523</v>
      </c>
      <c r="AD32" s="182">
        <v>172.53286</v>
      </c>
      <c r="AE32" s="182">
        <v>172.53286</v>
      </c>
      <c r="AF32" s="343" t="s">
        <v>521</v>
      </c>
      <c r="AG32" s="344"/>
      <c r="AH32" s="344"/>
      <c r="AI32" s="344"/>
      <c r="AJ32" s="344"/>
      <c r="AK32" s="345"/>
      <c r="AL32" s="202"/>
      <c r="AM32" s="202"/>
      <c r="AN32" s="202"/>
      <c r="AO32" s="202"/>
      <c r="AP32" s="204">
        <v>43437</v>
      </c>
      <c r="AQ32" s="204">
        <v>43437</v>
      </c>
      <c r="AR32" s="204">
        <v>43437</v>
      </c>
      <c r="AS32" s="204">
        <v>43437</v>
      </c>
      <c r="AT32" s="204">
        <v>43465</v>
      </c>
      <c r="AU32" s="202"/>
      <c r="AV32" s="202"/>
    </row>
  </sheetData>
  <mergeCells count="76">
    <mergeCell ref="F23:F24"/>
    <mergeCell ref="AJ23:AJ24"/>
    <mergeCell ref="AF22:AK22"/>
    <mergeCell ref="E22:L22"/>
    <mergeCell ref="X22:X24"/>
    <mergeCell ref="AE22:AE24"/>
    <mergeCell ref="AH23:AI23"/>
    <mergeCell ref="O22:O24"/>
    <mergeCell ref="S23:S24"/>
    <mergeCell ref="T23:T24"/>
    <mergeCell ref="R22:R24"/>
    <mergeCell ref="S22:T22"/>
    <mergeCell ref="AC22:AC24"/>
    <mergeCell ref="Y22:Y24"/>
    <mergeCell ref="Q22:Q24"/>
    <mergeCell ref="N22:N24"/>
    <mergeCell ref="G23:G24"/>
    <mergeCell ref="AL22:AO22"/>
    <mergeCell ref="H23:H24"/>
    <mergeCell ref="K23:K24"/>
    <mergeCell ref="L23:L24"/>
    <mergeCell ref="I23:I24"/>
    <mergeCell ref="J23:J24"/>
    <mergeCell ref="V22:V24"/>
    <mergeCell ref="W22:W24"/>
    <mergeCell ref="A5:AO5"/>
    <mergeCell ref="A7:AO7"/>
    <mergeCell ref="A8:AO8"/>
    <mergeCell ref="A9:AO9"/>
    <mergeCell ref="C22:C24"/>
    <mergeCell ref="D22:D24"/>
    <mergeCell ref="A10:AO10"/>
    <mergeCell ref="A11:AO11"/>
    <mergeCell ref="A12:AO12"/>
    <mergeCell ref="A13:AO13"/>
    <mergeCell ref="A14:AO14"/>
    <mergeCell ref="A15:AO15"/>
    <mergeCell ref="A16:AO16"/>
    <mergeCell ref="A17:AO17"/>
    <mergeCell ref="Z22:Z24"/>
    <mergeCell ref="U22:U24"/>
    <mergeCell ref="A18:AO18"/>
    <mergeCell ref="A19:AO19"/>
    <mergeCell ref="AS22:AS24"/>
    <mergeCell ref="AT22:AT24"/>
    <mergeCell ref="AU22:AU24"/>
    <mergeCell ref="AA22:AA24"/>
    <mergeCell ref="AB22:AB24"/>
    <mergeCell ref="AD22:AD24"/>
    <mergeCell ref="AF23:AG23"/>
    <mergeCell ref="M22:M24"/>
    <mergeCell ref="E23:E24"/>
    <mergeCell ref="A20:AO20"/>
    <mergeCell ref="A21:AO21"/>
    <mergeCell ref="A22:A24"/>
    <mergeCell ref="B22:B24"/>
    <mergeCell ref="P22:P24"/>
    <mergeCell ref="AV22:AV24"/>
    <mergeCell ref="AQ23:AQ24"/>
    <mergeCell ref="AP23:AP24"/>
    <mergeCell ref="AP22:AQ22"/>
    <mergeCell ref="AR22:AR24"/>
    <mergeCell ref="AL26:AO26"/>
    <mergeCell ref="AK23:AK24"/>
    <mergeCell ref="AL23:AL24"/>
    <mergeCell ref="AM23:AM24"/>
    <mergeCell ref="AN23:AN24"/>
    <mergeCell ref="AO23:AO24"/>
    <mergeCell ref="P32:AB32"/>
    <mergeCell ref="AF32:AK32"/>
    <mergeCell ref="O27:AC27"/>
    <mergeCell ref="O29:AB29"/>
    <mergeCell ref="P30:AB30"/>
    <mergeCell ref="AF30:AK30"/>
    <mergeCell ref="P31:AB31"/>
    <mergeCell ref="AF31:AK31"/>
  </mergeCells>
  <phoneticPr fontId="46" type="noConversion"/>
  <hyperlinks>
    <hyperlink ref="AG26" r:id="rId1"/>
    <hyperlink ref="AG28" r:id="rId2"/>
  </hyperlinks>
  <printOptions horizontalCentered="1"/>
  <pageMargins left="0.59055118110236227" right="0.59055118110236227" top="0.59055118110236227" bottom="0.59055118110236227" header="0" footer="0"/>
  <pageSetup paperSize="8" scale="27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8"/>
  <sheetViews>
    <sheetView view="pageBreakPreview" topLeftCell="A10" zoomScale="90" zoomScaleNormal="90" zoomScaleSheetLayoutView="90" workbookViewId="0">
      <selection activeCell="B27" sqref="B27"/>
    </sheetView>
  </sheetViews>
  <sheetFormatPr defaultRowHeight="15.75" x14ac:dyDescent="0.25"/>
  <cols>
    <col min="1" max="1" width="72.28515625" style="73" customWidth="1"/>
    <col min="2" max="2" width="69.140625" style="73" customWidth="1"/>
    <col min="3" max="216" width="9.140625" style="74"/>
    <col min="217" max="218" width="66.140625" style="74" customWidth="1"/>
    <col min="219" max="16384" width="9.140625" style="74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82" t="str">
        <f>'1. паспорт местоположение'!$A$5</f>
        <v>Год раскрытия информации: 2019 год</v>
      </c>
      <c r="B5" s="382"/>
    </row>
    <row r="6" spans="1:2" ht="18.75" x14ac:dyDescent="0.3">
      <c r="A6" s="81"/>
      <c r="B6" s="81"/>
    </row>
    <row r="7" spans="1:2" ht="18.75" x14ac:dyDescent="0.25">
      <c r="A7" s="257" t="s">
        <v>5</v>
      </c>
      <c r="B7" s="257"/>
    </row>
    <row r="8" spans="1:2" ht="18.75" x14ac:dyDescent="0.25">
      <c r="A8" s="11"/>
      <c r="B8" s="11"/>
    </row>
    <row r="9" spans="1:2" x14ac:dyDescent="0.25">
      <c r="A9" s="258" t="s">
        <v>281</v>
      </c>
      <c r="B9" s="258"/>
    </row>
    <row r="10" spans="1:2" x14ac:dyDescent="0.25">
      <c r="A10" s="254" t="s">
        <v>4</v>
      </c>
      <c r="B10" s="254"/>
    </row>
    <row r="11" spans="1:2" ht="18.75" x14ac:dyDescent="0.25">
      <c r="A11" s="11"/>
      <c r="B11" s="11"/>
    </row>
    <row r="12" spans="1:2" ht="23.25" customHeight="1" x14ac:dyDescent="0.25">
      <c r="A12" s="258" t="str">
        <f>'1. паспорт местоположение'!$A$12</f>
        <v>I_Che149</v>
      </c>
      <c r="B12" s="258"/>
    </row>
    <row r="13" spans="1:2" x14ac:dyDescent="0.25">
      <c r="A13" s="254" t="s">
        <v>3</v>
      </c>
      <c r="B13" s="254"/>
    </row>
    <row r="14" spans="1:2" ht="18.75" x14ac:dyDescent="0.25">
      <c r="A14" s="9"/>
      <c r="B14" s="9"/>
    </row>
    <row r="15" spans="1:2" ht="57.75" customHeight="1" x14ac:dyDescent="0.25">
      <c r="A15" s="276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276"/>
    </row>
    <row r="16" spans="1:2" x14ac:dyDescent="0.25">
      <c r="A16" s="254" t="s">
        <v>2</v>
      </c>
      <c r="B16" s="254"/>
    </row>
    <row r="17" spans="1:2" x14ac:dyDescent="0.25">
      <c r="B17" s="75"/>
    </row>
    <row r="18" spans="1:2" ht="20.25" customHeight="1" x14ac:dyDescent="0.25">
      <c r="A18" s="385" t="s">
        <v>268</v>
      </c>
      <c r="B18" s="386"/>
    </row>
    <row r="19" spans="1:2" ht="10.5" customHeight="1" x14ac:dyDescent="0.25">
      <c r="B19" s="36"/>
    </row>
    <row r="20" spans="1:2" ht="10.5" customHeight="1" thickBot="1" x14ac:dyDescent="0.3">
      <c r="B20" s="76"/>
    </row>
    <row r="21" spans="1:2" s="165" customFormat="1" ht="88.5" customHeight="1" x14ac:dyDescent="0.25">
      <c r="A21" s="218" t="s">
        <v>157</v>
      </c>
      <c r="B21" s="231" t="s">
        <v>472</v>
      </c>
    </row>
    <row r="22" spans="1:2" s="165" customFormat="1" x14ac:dyDescent="0.25">
      <c r="A22" s="219" t="s">
        <v>158</v>
      </c>
      <c r="B22" s="214" t="s">
        <v>454</v>
      </c>
    </row>
    <row r="23" spans="1:2" s="165" customFormat="1" ht="60" x14ac:dyDescent="0.25">
      <c r="A23" s="219" t="s">
        <v>154</v>
      </c>
      <c r="B23" s="214" t="s">
        <v>452</v>
      </c>
    </row>
    <row r="24" spans="1:2" s="165" customFormat="1" x14ac:dyDescent="0.25">
      <c r="A24" s="219" t="s">
        <v>159</v>
      </c>
      <c r="B24" s="206" t="s">
        <v>473</v>
      </c>
    </row>
    <row r="25" spans="1:2" s="165" customFormat="1" x14ac:dyDescent="0.25">
      <c r="A25" s="220" t="s">
        <v>160</v>
      </c>
      <c r="B25" s="248">
        <f>VLOOKUP(A12,'[1]6.2. отчет'!$D:$OM,400,0)</f>
        <v>2018</v>
      </c>
    </row>
    <row r="26" spans="1:2" s="165" customFormat="1" x14ac:dyDescent="0.25">
      <c r="A26" s="220" t="s">
        <v>161</v>
      </c>
      <c r="B26" s="207" t="str">
        <f>'3.3 паспорт описание'!C30</f>
        <v>з</v>
      </c>
    </row>
    <row r="27" spans="1:2" s="165" customFormat="1" x14ac:dyDescent="0.25">
      <c r="A27" s="219" t="s">
        <v>438</v>
      </c>
      <c r="B27" s="249">
        <f>VLOOKUP($A$12,'[1]6.2. отчет'!$D:$OT,407,0)</f>
        <v>59.628870252866726</v>
      </c>
    </row>
    <row r="28" spans="1:2" s="165" customFormat="1" x14ac:dyDescent="0.25">
      <c r="A28" s="221" t="s">
        <v>162</v>
      </c>
      <c r="B28" s="214" t="s">
        <v>439</v>
      </c>
    </row>
    <row r="29" spans="1:2" s="165" customFormat="1" x14ac:dyDescent="0.25">
      <c r="A29" s="219" t="s">
        <v>163</v>
      </c>
      <c r="B29" s="209">
        <f>B39+B49</f>
        <v>118.11459298999999</v>
      </c>
    </row>
    <row r="30" spans="1:2" s="165" customFormat="1" ht="21.75" customHeight="1" x14ac:dyDescent="0.25">
      <c r="A30" s="219" t="s">
        <v>164</v>
      </c>
      <c r="B30" s="209">
        <f>B39+B49+B54+B59+B64</f>
        <v>118.45978034999999</v>
      </c>
    </row>
    <row r="31" spans="1:2" s="165" customFormat="1" x14ac:dyDescent="0.25">
      <c r="A31" s="221" t="s">
        <v>165</v>
      </c>
      <c r="B31" s="214" t="s">
        <v>300</v>
      </c>
    </row>
    <row r="32" spans="1:2" s="165" customFormat="1" ht="21" customHeight="1" x14ac:dyDescent="0.25">
      <c r="A32" s="219" t="s">
        <v>166</v>
      </c>
      <c r="B32" s="214" t="s">
        <v>300</v>
      </c>
    </row>
    <row r="33" spans="1:2" s="194" customFormat="1" ht="17.25" customHeight="1" x14ac:dyDescent="0.25">
      <c r="A33" s="222"/>
      <c r="B33" s="216" t="s">
        <v>447</v>
      </c>
    </row>
    <row r="34" spans="1:2" s="194" customFormat="1" ht="21" customHeight="1" x14ac:dyDescent="0.25">
      <c r="A34" s="223" t="s">
        <v>448</v>
      </c>
      <c r="B34" s="232">
        <v>56.608719999999998</v>
      </c>
    </row>
    <row r="35" spans="1:2" s="194" customFormat="1" ht="18" customHeight="1" x14ac:dyDescent="0.25">
      <c r="A35" s="223" t="s">
        <v>167</v>
      </c>
      <c r="B35" s="233" t="s">
        <v>300</v>
      </c>
    </row>
    <row r="36" spans="1:2" s="194" customFormat="1" ht="21.75" customHeight="1" x14ac:dyDescent="0.25">
      <c r="A36" s="223" t="s">
        <v>168</v>
      </c>
      <c r="B36" s="232">
        <v>0</v>
      </c>
    </row>
    <row r="37" spans="1:2" s="194" customFormat="1" ht="15" customHeight="1" x14ac:dyDescent="0.25">
      <c r="A37" s="223" t="s">
        <v>437</v>
      </c>
      <c r="B37" s="232">
        <v>0</v>
      </c>
    </row>
    <row r="38" spans="1:2" s="165" customFormat="1" ht="21" customHeight="1" x14ac:dyDescent="0.25">
      <c r="A38" s="219" t="s">
        <v>166</v>
      </c>
      <c r="B38" s="216" t="s">
        <v>506</v>
      </c>
    </row>
    <row r="39" spans="1:2" s="165" customFormat="1" ht="19.5" customHeight="1" x14ac:dyDescent="0.25">
      <c r="A39" s="221" t="s">
        <v>505</v>
      </c>
      <c r="B39" s="232">
        <v>82.769051989999994</v>
      </c>
    </row>
    <row r="40" spans="1:2" s="165" customFormat="1" ht="16.5" customHeight="1" x14ac:dyDescent="0.25">
      <c r="A40" s="224" t="s">
        <v>167</v>
      </c>
      <c r="B40" s="234">
        <f>B42/B27</f>
        <v>1.2607638153464047</v>
      </c>
    </row>
    <row r="41" spans="1:2" s="165" customFormat="1" ht="18" customHeight="1" x14ac:dyDescent="0.25">
      <c r="A41" s="224" t="s">
        <v>168</v>
      </c>
      <c r="B41" s="208">
        <f>'6.2. Паспорт фин осв ввод'!D24-'8. Общие сведения'!B52-B68</f>
        <v>74.384698599999993</v>
      </c>
    </row>
    <row r="42" spans="1:2" s="165" customFormat="1" ht="18" customHeight="1" x14ac:dyDescent="0.25">
      <c r="A42" s="224" t="s">
        <v>169</v>
      </c>
      <c r="B42" s="208">
        <f>'6.2. Паспорт фин осв ввод'!D30*1.18-'8. Общие сведения'!B52-B68</f>
        <v>75.177921964799992</v>
      </c>
    </row>
    <row r="43" spans="1:2" s="165" customFormat="1" ht="28.5" x14ac:dyDescent="0.25">
      <c r="A43" s="219" t="s">
        <v>170</v>
      </c>
      <c r="B43" s="214" t="s">
        <v>300</v>
      </c>
    </row>
    <row r="44" spans="1:2" s="165" customFormat="1" x14ac:dyDescent="0.25">
      <c r="A44" s="221" t="s">
        <v>435</v>
      </c>
      <c r="B44" s="214" t="s">
        <v>300</v>
      </c>
    </row>
    <row r="45" spans="1:2" s="165" customFormat="1" x14ac:dyDescent="0.25">
      <c r="A45" s="221" t="s">
        <v>167</v>
      </c>
      <c r="B45" s="235" t="s">
        <v>300</v>
      </c>
    </row>
    <row r="46" spans="1:2" s="165" customFormat="1" x14ac:dyDescent="0.25">
      <c r="A46" s="221" t="s">
        <v>168</v>
      </c>
      <c r="B46" s="214" t="s">
        <v>300</v>
      </c>
    </row>
    <row r="47" spans="1:2" s="165" customFormat="1" x14ac:dyDescent="0.25">
      <c r="A47" s="221" t="s">
        <v>169</v>
      </c>
      <c r="B47" s="214" t="s">
        <v>300</v>
      </c>
    </row>
    <row r="48" spans="1:2" s="165" customFormat="1" ht="51" customHeight="1" x14ac:dyDescent="0.25">
      <c r="A48" s="219" t="s">
        <v>171</v>
      </c>
      <c r="B48" s="215" t="s">
        <v>528</v>
      </c>
    </row>
    <row r="49" spans="1:2" s="165" customFormat="1" x14ac:dyDescent="0.25">
      <c r="A49" s="221" t="s">
        <v>436</v>
      </c>
      <c r="B49" s="209">
        <v>35.345540999999997</v>
      </c>
    </row>
    <row r="50" spans="1:2" s="165" customFormat="1" x14ac:dyDescent="0.25">
      <c r="A50" s="221" t="s">
        <v>167</v>
      </c>
      <c r="B50" s="235">
        <v>6.5833533700791522E-2</v>
      </c>
    </row>
    <row r="51" spans="1:2" s="165" customFormat="1" x14ac:dyDescent="0.25">
      <c r="A51" s="221" t="s">
        <v>168</v>
      </c>
      <c r="B51" s="209">
        <v>5.2980153300000001</v>
      </c>
    </row>
    <row r="52" spans="1:2" s="165" customFormat="1" x14ac:dyDescent="0.25">
      <c r="A52" s="221" t="s">
        <v>169</v>
      </c>
      <c r="B52" s="209">
        <v>5.2980153300000001</v>
      </c>
    </row>
    <row r="53" spans="1:2" s="165" customFormat="1" ht="28.5" x14ac:dyDescent="0.25">
      <c r="A53" s="224"/>
      <c r="B53" s="237" t="s">
        <v>524</v>
      </c>
    </row>
    <row r="54" spans="1:2" s="165" customFormat="1" x14ac:dyDescent="0.25">
      <c r="A54" s="224" t="s">
        <v>525</v>
      </c>
      <c r="B54" s="208">
        <v>7.7404500000000001E-2</v>
      </c>
    </row>
    <row r="55" spans="1:2" s="165" customFormat="1" x14ac:dyDescent="0.25">
      <c r="A55" s="224" t="s">
        <v>167</v>
      </c>
      <c r="B55" s="236">
        <v>9.6183409105819197E-4</v>
      </c>
    </row>
    <row r="56" spans="1:2" s="165" customFormat="1" x14ac:dyDescent="0.25">
      <c r="A56" s="224" t="s">
        <v>168</v>
      </c>
      <c r="B56" s="208">
        <v>0</v>
      </c>
    </row>
    <row r="57" spans="1:2" s="165" customFormat="1" x14ac:dyDescent="0.25">
      <c r="A57" s="224" t="s">
        <v>169</v>
      </c>
      <c r="B57" s="208">
        <v>7.7404500000000001E-2</v>
      </c>
    </row>
    <row r="58" spans="1:2" s="165" customFormat="1" ht="28.5" x14ac:dyDescent="0.25">
      <c r="A58" s="224"/>
      <c r="B58" s="237" t="s">
        <v>526</v>
      </c>
    </row>
    <row r="59" spans="1:2" s="165" customFormat="1" x14ac:dyDescent="0.25">
      <c r="A59" s="224" t="s">
        <v>525</v>
      </c>
      <c r="B59" s="208">
        <v>9.5250000000000001E-2</v>
      </c>
    </row>
    <row r="60" spans="1:2" s="165" customFormat="1" x14ac:dyDescent="0.25">
      <c r="A60" s="224" t="s">
        <v>167</v>
      </c>
      <c r="B60" s="236">
        <v>1.183583605259291E-3</v>
      </c>
    </row>
    <row r="61" spans="1:2" s="165" customFormat="1" x14ac:dyDescent="0.25">
      <c r="A61" s="224" t="s">
        <v>168</v>
      </c>
      <c r="B61" s="208">
        <v>0</v>
      </c>
    </row>
    <row r="62" spans="1:2" s="165" customFormat="1" x14ac:dyDescent="0.25">
      <c r="A62" s="224" t="s">
        <v>169</v>
      </c>
      <c r="B62" s="208">
        <v>9.5250000000000001E-2</v>
      </c>
    </row>
    <row r="63" spans="1:2" s="165" customFormat="1" x14ac:dyDescent="0.25">
      <c r="A63" s="224"/>
      <c r="B63" s="237" t="s">
        <v>527</v>
      </c>
    </row>
    <row r="64" spans="1:2" s="165" customFormat="1" x14ac:dyDescent="0.25">
      <c r="A64" s="224" t="s">
        <v>525</v>
      </c>
      <c r="B64" s="208">
        <v>0.17253286000000001</v>
      </c>
    </row>
    <row r="65" spans="1:2" s="165" customFormat="1" x14ac:dyDescent="0.25">
      <c r="A65" s="224" t="s">
        <v>167</v>
      </c>
      <c r="B65" s="236">
        <v>2.143906188603638E-3</v>
      </c>
    </row>
    <row r="66" spans="1:2" s="165" customFormat="1" x14ac:dyDescent="0.25">
      <c r="A66" s="224" t="s">
        <v>168</v>
      </c>
      <c r="B66" s="208">
        <v>0</v>
      </c>
    </row>
    <row r="67" spans="1:2" s="165" customFormat="1" x14ac:dyDescent="0.25">
      <c r="A67" s="224" t="s">
        <v>169</v>
      </c>
      <c r="B67" s="208">
        <v>0.17253286000000001</v>
      </c>
    </row>
    <row r="68" spans="1:2" s="165" customFormat="1" x14ac:dyDescent="0.25">
      <c r="A68" s="225" t="s">
        <v>508</v>
      </c>
      <c r="B68" s="210">
        <f>B69+B70+B71</f>
        <v>2.3164343999999999</v>
      </c>
    </row>
    <row r="69" spans="1:2" s="165" customFormat="1" x14ac:dyDescent="0.25">
      <c r="A69" s="226" t="s">
        <v>509</v>
      </c>
      <c r="B69" s="211">
        <v>2.3164343999999999</v>
      </c>
    </row>
    <row r="70" spans="1:2" s="165" customFormat="1" x14ac:dyDescent="0.25">
      <c r="A70" s="226" t="s">
        <v>510</v>
      </c>
      <c r="B70" s="211">
        <v>0</v>
      </c>
    </row>
    <row r="71" spans="1:2" s="165" customFormat="1" x14ac:dyDescent="0.25">
      <c r="A71" s="226" t="s">
        <v>85</v>
      </c>
      <c r="B71" s="211">
        <v>0</v>
      </c>
    </row>
    <row r="72" spans="1:2" s="165" customFormat="1" ht="28.5" x14ac:dyDescent="0.25">
      <c r="A72" s="220" t="s">
        <v>172</v>
      </c>
      <c r="B72" s="214" t="s">
        <v>300</v>
      </c>
    </row>
    <row r="73" spans="1:2" s="165" customFormat="1" x14ac:dyDescent="0.25">
      <c r="A73" s="227" t="s">
        <v>165</v>
      </c>
      <c r="B73" s="214" t="s">
        <v>300</v>
      </c>
    </row>
    <row r="74" spans="1:2" s="165" customFormat="1" x14ac:dyDescent="0.25">
      <c r="A74" s="227" t="s">
        <v>173</v>
      </c>
      <c r="B74" s="214" t="s">
        <v>300</v>
      </c>
    </row>
    <row r="75" spans="1:2" s="165" customFormat="1" x14ac:dyDescent="0.25">
      <c r="A75" s="227" t="s">
        <v>174</v>
      </c>
      <c r="B75" s="214" t="s">
        <v>300</v>
      </c>
    </row>
    <row r="76" spans="1:2" s="165" customFormat="1" x14ac:dyDescent="0.25">
      <c r="A76" s="227" t="s">
        <v>175</v>
      </c>
      <c r="B76" s="214" t="s">
        <v>300</v>
      </c>
    </row>
    <row r="77" spans="1:2" s="165" customFormat="1" x14ac:dyDescent="0.25">
      <c r="A77" s="220" t="s">
        <v>176</v>
      </c>
      <c r="B77" s="212">
        <f>B78/$B$27</f>
        <v>1.3751585093306005</v>
      </c>
    </row>
    <row r="78" spans="1:2" s="165" customFormat="1" x14ac:dyDescent="0.25">
      <c r="A78" s="220" t="s">
        <v>177</v>
      </c>
      <c r="B78" s="208">
        <f>'6.2. Паспорт фин осв ввод'!D24</f>
        <v>81.999148329999997</v>
      </c>
    </row>
    <row r="79" spans="1:2" s="165" customFormat="1" x14ac:dyDescent="0.25">
      <c r="A79" s="220" t="s">
        <v>178</v>
      </c>
      <c r="B79" s="212">
        <f>B80/'6.2. Паспорт фин осв ввод'!C30</f>
        <v>1.3884611823719679</v>
      </c>
    </row>
    <row r="80" spans="1:2" s="165" customFormat="1" x14ac:dyDescent="0.25">
      <c r="A80" s="220" t="s">
        <v>179</v>
      </c>
      <c r="B80" s="208">
        <f>'6.2. Паспорт фин осв ввод'!D30</f>
        <v>70.163026860000002</v>
      </c>
    </row>
    <row r="81" spans="1:2" s="165" customFormat="1" ht="22.5" customHeight="1" x14ac:dyDescent="0.25">
      <c r="A81" s="220" t="s">
        <v>180</v>
      </c>
      <c r="B81" s="217"/>
    </row>
    <row r="82" spans="1:2" s="165" customFormat="1" x14ac:dyDescent="0.25">
      <c r="A82" s="227" t="s">
        <v>181</v>
      </c>
      <c r="B82" s="217" t="s">
        <v>293</v>
      </c>
    </row>
    <row r="83" spans="1:2" s="165" customFormat="1" x14ac:dyDescent="0.25">
      <c r="A83" s="227" t="s">
        <v>182</v>
      </c>
      <c r="B83" s="217" t="s">
        <v>474</v>
      </c>
    </row>
    <row r="84" spans="1:2" s="165" customFormat="1" x14ac:dyDescent="0.25">
      <c r="A84" s="227" t="s">
        <v>183</v>
      </c>
      <c r="B84" s="217" t="s">
        <v>300</v>
      </c>
    </row>
    <row r="85" spans="1:2" s="165" customFormat="1" x14ac:dyDescent="0.25">
      <c r="A85" s="227" t="s">
        <v>184</v>
      </c>
      <c r="B85" s="217" t="s">
        <v>507</v>
      </c>
    </row>
    <row r="86" spans="1:2" s="165" customFormat="1" x14ac:dyDescent="0.25">
      <c r="A86" s="227" t="s">
        <v>185</v>
      </c>
      <c r="B86" s="217" t="s">
        <v>300</v>
      </c>
    </row>
    <row r="87" spans="1:2" s="165" customFormat="1" ht="15.75" customHeight="1" x14ac:dyDescent="0.25">
      <c r="A87" s="227" t="s">
        <v>186</v>
      </c>
      <c r="B87" s="217" t="s">
        <v>300</v>
      </c>
    </row>
    <row r="88" spans="1:2" s="165" customFormat="1" ht="28.5" x14ac:dyDescent="0.25">
      <c r="A88" s="220" t="s">
        <v>187</v>
      </c>
      <c r="B88" s="217"/>
    </row>
    <row r="89" spans="1:2" s="165" customFormat="1" x14ac:dyDescent="0.25">
      <c r="A89" s="227" t="s">
        <v>165</v>
      </c>
      <c r="B89" s="213" t="s">
        <v>300</v>
      </c>
    </row>
    <row r="90" spans="1:2" s="165" customFormat="1" x14ac:dyDescent="0.25">
      <c r="A90" s="227" t="s">
        <v>188</v>
      </c>
      <c r="B90" s="213" t="s">
        <v>300</v>
      </c>
    </row>
    <row r="91" spans="1:2" s="165" customFormat="1" x14ac:dyDescent="0.25">
      <c r="A91" s="227" t="s">
        <v>189</v>
      </c>
      <c r="B91" s="213" t="s">
        <v>300</v>
      </c>
    </row>
    <row r="92" spans="1:2" s="165" customFormat="1" ht="22.5" customHeight="1" x14ac:dyDescent="0.25">
      <c r="A92" s="228" t="s">
        <v>190</v>
      </c>
      <c r="B92" s="213" t="s">
        <v>300</v>
      </c>
    </row>
    <row r="93" spans="1:2" s="165" customFormat="1" x14ac:dyDescent="0.25">
      <c r="A93" s="220" t="s">
        <v>191</v>
      </c>
      <c r="B93" s="214" t="s">
        <v>300</v>
      </c>
    </row>
    <row r="94" spans="1:2" s="165" customFormat="1" x14ac:dyDescent="0.25">
      <c r="A94" s="227" t="s">
        <v>192</v>
      </c>
      <c r="B94" s="214"/>
    </row>
    <row r="95" spans="1:2" s="165" customFormat="1" x14ac:dyDescent="0.25">
      <c r="A95" s="227" t="s">
        <v>193</v>
      </c>
      <c r="B95" s="214"/>
    </row>
    <row r="96" spans="1:2" s="165" customFormat="1" x14ac:dyDescent="0.25">
      <c r="A96" s="227" t="s">
        <v>194</v>
      </c>
      <c r="B96" s="214"/>
    </row>
    <row r="97" spans="1:2" s="165" customFormat="1" ht="15" customHeight="1" x14ac:dyDescent="0.25">
      <c r="A97" s="229" t="s">
        <v>195</v>
      </c>
      <c r="B97" s="217" t="s">
        <v>449</v>
      </c>
    </row>
    <row r="98" spans="1:2" s="165" customFormat="1" ht="28.5" x14ac:dyDescent="0.25">
      <c r="A98" s="220" t="s">
        <v>196</v>
      </c>
      <c r="B98" s="383" t="s">
        <v>300</v>
      </c>
    </row>
    <row r="99" spans="1:2" s="165" customFormat="1" x14ac:dyDescent="0.25">
      <c r="A99" s="227" t="s">
        <v>197</v>
      </c>
      <c r="B99" s="383"/>
    </row>
    <row r="100" spans="1:2" s="165" customFormat="1" x14ac:dyDescent="0.25">
      <c r="A100" s="227" t="s">
        <v>198</v>
      </c>
      <c r="B100" s="383"/>
    </row>
    <row r="101" spans="1:2" s="165" customFormat="1" x14ac:dyDescent="0.25">
      <c r="A101" s="227" t="s">
        <v>199</v>
      </c>
      <c r="B101" s="383"/>
    </row>
    <row r="102" spans="1:2" s="165" customFormat="1" x14ac:dyDescent="0.25">
      <c r="A102" s="227" t="s">
        <v>200</v>
      </c>
      <c r="B102" s="383"/>
    </row>
    <row r="103" spans="1:2" s="165" customFormat="1" ht="16.5" thickBot="1" x14ac:dyDescent="0.3">
      <c r="A103" s="230" t="s">
        <v>201</v>
      </c>
      <c r="B103" s="384"/>
    </row>
    <row r="106" spans="1:2" x14ac:dyDescent="0.25">
      <c r="A106" s="77"/>
      <c r="B106" s="78"/>
    </row>
    <row r="107" spans="1:2" x14ac:dyDescent="0.25">
      <c r="B107" s="79"/>
    </row>
    <row r="108" spans="1:2" x14ac:dyDescent="0.25">
      <c r="B108" s="80"/>
    </row>
  </sheetData>
  <mergeCells count="10">
    <mergeCell ref="B98:B103"/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O32" sqref="O32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53" t="str">
        <f>'1. паспорт местоположение'!$A$5</f>
        <v>Год раскрытия информации: 2019 год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</row>
    <row r="5" spans="1:25" s="10" customFormat="1" ht="15.75" x14ac:dyDescent="0.2">
      <c r="A5" s="15"/>
      <c r="H5" s="14"/>
    </row>
    <row r="6" spans="1:25" s="10" customFormat="1" ht="18.75" x14ac:dyDescent="0.2">
      <c r="A6" s="257" t="s">
        <v>5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</row>
    <row r="7" spans="1:25" s="10" customFormat="1" ht="18.75" x14ac:dyDescent="0.2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</row>
    <row r="8" spans="1:25" s="10" customFormat="1" ht="18.75" customHeight="1" x14ac:dyDescent="0.2">
      <c r="A8" s="258" t="s">
        <v>293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5" s="10" customFormat="1" ht="18.75" customHeight="1" x14ac:dyDescent="0.2">
      <c r="A9" s="254" t="s">
        <v>4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</row>
    <row r="10" spans="1:25" s="10" customFormat="1" ht="18.75" x14ac:dyDescent="0.2">
      <c r="A10" s="257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</row>
    <row r="11" spans="1:25" s="10" customFormat="1" ht="18.75" customHeight="1" x14ac:dyDescent="0.2">
      <c r="A11" s="258" t="str">
        <f>'1. паспорт местоположение'!A12:C12</f>
        <v>I_Che149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</row>
    <row r="12" spans="1:25" s="10" customFormat="1" ht="18.75" customHeight="1" x14ac:dyDescent="0.2">
      <c r="A12" s="254" t="s">
        <v>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</row>
    <row r="13" spans="1:25" s="7" customFormat="1" ht="15.75" customHeight="1" x14ac:dyDescent="0.2">
      <c r="A13" s="261"/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5" s="2" customFormat="1" ht="15.75" x14ac:dyDescent="0.2">
      <c r="A14" s="258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</row>
    <row r="15" spans="1:25" s="2" customFormat="1" ht="15" customHeight="1" x14ac:dyDescent="0.2">
      <c r="A15" s="254" t="s">
        <v>2</v>
      </c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</row>
    <row r="16" spans="1:25" s="110" customFormat="1" ht="15" customHeight="1" x14ac:dyDescent="0.2">
      <c r="A16" s="264"/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95"/>
      <c r="U16" s="95"/>
      <c r="V16" s="95"/>
      <c r="W16" s="95"/>
      <c r="X16" s="95"/>
      <c r="Y16" s="95"/>
    </row>
    <row r="17" spans="1:28" s="2" customFormat="1" ht="45.75" customHeight="1" x14ac:dyDescent="0.2">
      <c r="A17" s="255" t="s">
        <v>304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65"/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62" t="s">
        <v>1</v>
      </c>
      <c r="B19" s="262" t="s">
        <v>305</v>
      </c>
      <c r="C19" s="266" t="s">
        <v>306</v>
      </c>
      <c r="D19" s="262" t="s">
        <v>307</v>
      </c>
      <c r="E19" s="262" t="s">
        <v>308</v>
      </c>
      <c r="F19" s="262" t="s">
        <v>309</v>
      </c>
      <c r="G19" s="262" t="s">
        <v>310</v>
      </c>
      <c r="H19" s="262" t="s">
        <v>311</v>
      </c>
      <c r="I19" s="262" t="s">
        <v>312</v>
      </c>
      <c r="J19" s="262" t="s">
        <v>313</v>
      </c>
      <c r="K19" s="262" t="s">
        <v>29</v>
      </c>
      <c r="L19" s="262" t="s">
        <v>314</v>
      </c>
      <c r="M19" s="262" t="s">
        <v>315</v>
      </c>
      <c r="N19" s="262" t="s">
        <v>316</v>
      </c>
      <c r="O19" s="262" t="s">
        <v>317</v>
      </c>
      <c r="P19" s="262" t="s">
        <v>318</v>
      </c>
      <c r="Q19" s="262" t="s">
        <v>319</v>
      </c>
      <c r="R19" s="262"/>
      <c r="S19" s="263" t="s">
        <v>320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62"/>
      <c r="B20" s="262"/>
      <c r="C20" s="267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111" t="s">
        <v>321</v>
      </c>
      <c r="R20" s="112" t="s">
        <v>322</v>
      </c>
      <c r="S20" s="263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11">
        <v>1</v>
      </c>
      <c r="B21" s="113">
        <v>2</v>
      </c>
      <c r="C21" s="111">
        <v>3</v>
      </c>
      <c r="D21" s="113">
        <v>4</v>
      </c>
      <c r="E21" s="111">
        <v>5</v>
      </c>
      <c r="F21" s="113">
        <v>6</v>
      </c>
      <c r="G21" s="111">
        <v>7</v>
      </c>
      <c r="H21" s="113">
        <v>8</v>
      </c>
      <c r="I21" s="111">
        <v>9</v>
      </c>
      <c r="J21" s="113">
        <v>10</v>
      </c>
      <c r="K21" s="111">
        <v>11</v>
      </c>
      <c r="L21" s="113">
        <v>12</v>
      </c>
      <c r="M21" s="111">
        <v>13</v>
      </c>
      <c r="N21" s="113">
        <v>14</v>
      </c>
      <c r="O21" s="111">
        <v>15</v>
      </c>
      <c r="P21" s="113">
        <v>16</v>
      </c>
      <c r="Q21" s="111">
        <v>17</v>
      </c>
      <c r="R21" s="113">
        <v>18</v>
      </c>
      <c r="S21" s="111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118.5" customHeight="1" x14ac:dyDescent="0.2">
      <c r="A22" s="111">
        <v>1</v>
      </c>
      <c r="B22" s="113" t="s">
        <v>450</v>
      </c>
      <c r="C22" s="113" t="s">
        <v>300</v>
      </c>
      <c r="D22" s="113" t="s">
        <v>451</v>
      </c>
      <c r="E22" s="113" t="s">
        <v>461</v>
      </c>
      <c r="F22" s="113" t="s">
        <v>462</v>
      </c>
      <c r="G22" s="113" t="s">
        <v>463</v>
      </c>
      <c r="H22" s="113">
        <v>346.8</v>
      </c>
      <c r="I22" s="113" t="s">
        <v>300</v>
      </c>
      <c r="J22" s="113">
        <v>346.8</v>
      </c>
      <c r="K22" s="113">
        <v>110</v>
      </c>
      <c r="L22" s="113">
        <v>1</v>
      </c>
      <c r="M22" s="113" t="s">
        <v>300</v>
      </c>
      <c r="N22" s="113" t="s">
        <v>300</v>
      </c>
      <c r="O22" s="113">
        <v>173.4</v>
      </c>
      <c r="P22" s="113">
        <v>2</v>
      </c>
      <c r="Q22" s="113" t="s">
        <v>464</v>
      </c>
      <c r="R22" s="113" t="s">
        <v>300</v>
      </c>
      <c r="S22" s="113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L19:L20"/>
    <mergeCell ref="A19:A20"/>
    <mergeCell ref="B19:B20"/>
    <mergeCell ref="C19:C20"/>
    <mergeCell ref="D19:D20"/>
    <mergeCell ref="Q19:R19"/>
    <mergeCell ref="S19:S20"/>
    <mergeCell ref="A16:S16"/>
    <mergeCell ref="M19:M20"/>
    <mergeCell ref="N19:N20"/>
    <mergeCell ref="O19:O20"/>
    <mergeCell ref="P19:P20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A4:T4"/>
    <mergeCell ref="A6:T6"/>
    <mergeCell ref="A7:T7"/>
    <mergeCell ref="A8:T8"/>
    <mergeCell ref="A9:T9"/>
    <mergeCell ref="A15:T15"/>
    <mergeCell ref="A10:T10"/>
    <mergeCell ref="A11:T11"/>
    <mergeCell ref="A12:T12"/>
    <mergeCell ref="A13:T13"/>
    <mergeCell ref="A14:T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16" zoomScale="85" zoomScaleNormal="60" zoomScaleSheetLayoutView="85" workbookViewId="0">
      <selection activeCell="C28" sqref="C28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44.2851562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53" t="str">
        <f>'1. паспорт местоположение'!$A$5</f>
        <v>Год раскрытия информации: 2019 год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</row>
    <row r="7" spans="1:20" s="10" customFormat="1" x14ac:dyDescent="0.2">
      <c r="A7" s="15"/>
      <c r="H7" s="14"/>
    </row>
    <row r="8" spans="1:20" s="10" customFormat="1" ht="18.75" x14ac:dyDescent="0.2">
      <c r="A8" s="257" t="s">
        <v>5</v>
      </c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</row>
    <row r="9" spans="1:20" s="10" customFormat="1" ht="18.75" x14ac:dyDescent="0.2">
      <c r="A9" s="257"/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</row>
    <row r="10" spans="1:20" s="10" customFormat="1" ht="18.75" customHeight="1" x14ac:dyDescent="0.2">
      <c r="A10" s="258" t="s">
        <v>281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0" s="10" customFormat="1" ht="18.75" customHeight="1" x14ac:dyDescent="0.2">
      <c r="A11" s="254" t="s">
        <v>4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</row>
    <row r="12" spans="1:20" s="10" customFormat="1" ht="18.75" x14ac:dyDescent="0.2">
      <c r="A12" s="257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</row>
    <row r="13" spans="1:20" s="10" customFormat="1" ht="18.75" customHeight="1" x14ac:dyDescent="0.2">
      <c r="A13" s="258" t="str">
        <f>'1. паспорт местоположение'!$A$12</f>
        <v>I_Che149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0" s="10" customFormat="1" ht="18.75" customHeight="1" x14ac:dyDescent="0.2">
      <c r="A14" s="254" t="s">
        <v>3</v>
      </c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</row>
    <row r="15" spans="1:20" s="7" customFormat="1" ht="15.75" customHeight="1" x14ac:dyDescent="0.2">
      <c r="A15" s="261"/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</row>
    <row r="16" spans="1:20" s="2" customFormat="1" ht="84" customHeight="1" x14ac:dyDescent="0.2">
      <c r="A16" s="276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</row>
    <row r="17" spans="1:113" s="2" customFormat="1" ht="15" customHeight="1" x14ac:dyDescent="0.2">
      <c r="A17" s="254" t="s">
        <v>2</v>
      </c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</row>
    <row r="18" spans="1:113" s="2" customFormat="1" ht="15" customHeight="1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</row>
    <row r="19" spans="1:113" s="2" customFormat="1" ht="15" customHeight="1" x14ac:dyDescent="0.2">
      <c r="A19" s="256" t="s">
        <v>254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</row>
    <row r="20" spans="1:113" s="44" customFormat="1" ht="21" customHeight="1" x14ac:dyDescent="0.25">
      <c r="A20" s="283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</row>
    <row r="21" spans="1:113" s="42" customFormat="1" ht="46.5" customHeight="1" x14ac:dyDescent="0.2">
      <c r="A21" s="280" t="s">
        <v>1</v>
      </c>
      <c r="B21" s="271" t="s">
        <v>142</v>
      </c>
      <c r="C21" s="272"/>
      <c r="D21" s="268" t="s">
        <v>41</v>
      </c>
      <c r="E21" s="271" t="s">
        <v>273</v>
      </c>
      <c r="F21" s="272"/>
      <c r="G21" s="271" t="s">
        <v>152</v>
      </c>
      <c r="H21" s="272"/>
      <c r="I21" s="271" t="s">
        <v>40</v>
      </c>
      <c r="J21" s="272"/>
      <c r="K21" s="268" t="s">
        <v>39</v>
      </c>
      <c r="L21" s="271" t="s">
        <v>38</v>
      </c>
      <c r="M21" s="272"/>
      <c r="N21" s="271" t="s">
        <v>443</v>
      </c>
      <c r="O21" s="272"/>
      <c r="P21" s="268" t="s">
        <v>37</v>
      </c>
      <c r="Q21" s="277" t="s">
        <v>36</v>
      </c>
      <c r="R21" s="278"/>
      <c r="S21" s="277" t="s">
        <v>35</v>
      </c>
      <c r="T21" s="279"/>
    </row>
    <row r="22" spans="1:113" s="42" customFormat="1" ht="84" customHeight="1" x14ac:dyDescent="0.2">
      <c r="A22" s="281"/>
      <c r="B22" s="273"/>
      <c r="C22" s="274"/>
      <c r="D22" s="275"/>
      <c r="E22" s="273"/>
      <c r="F22" s="274"/>
      <c r="G22" s="273"/>
      <c r="H22" s="274"/>
      <c r="I22" s="273"/>
      <c r="J22" s="274"/>
      <c r="K22" s="269"/>
      <c r="L22" s="273"/>
      <c r="M22" s="274"/>
      <c r="N22" s="273"/>
      <c r="O22" s="274"/>
      <c r="P22" s="269"/>
      <c r="Q22" s="155" t="s">
        <v>34</v>
      </c>
      <c r="R22" s="155" t="s">
        <v>253</v>
      </c>
      <c r="S22" s="155" t="s">
        <v>33</v>
      </c>
      <c r="T22" s="155" t="s">
        <v>32</v>
      </c>
    </row>
    <row r="23" spans="1:113" s="42" customFormat="1" ht="28.5" customHeight="1" x14ac:dyDescent="0.2">
      <c r="A23" s="282"/>
      <c r="B23" s="156" t="s">
        <v>30</v>
      </c>
      <c r="C23" s="156" t="s">
        <v>31</v>
      </c>
      <c r="D23" s="269"/>
      <c r="E23" s="156" t="s">
        <v>30</v>
      </c>
      <c r="F23" s="156" t="s">
        <v>31</v>
      </c>
      <c r="G23" s="156" t="s">
        <v>30</v>
      </c>
      <c r="H23" s="156" t="s">
        <v>31</v>
      </c>
      <c r="I23" s="156" t="s">
        <v>30</v>
      </c>
      <c r="J23" s="156" t="s">
        <v>31</v>
      </c>
      <c r="K23" s="156" t="s">
        <v>30</v>
      </c>
      <c r="L23" s="156" t="s">
        <v>30</v>
      </c>
      <c r="M23" s="156" t="s">
        <v>31</v>
      </c>
      <c r="N23" s="156" t="s">
        <v>30</v>
      </c>
      <c r="O23" s="156" t="s">
        <v>31</v>
      </c>
      <c r="P23" s="154" t="s">
        <v>30</v>
      </c>
      <c r="Q23" s="155" t="s">
        <v>30</v>
      </c>
      <c r="R23" s="155" t="s">
        <v>30</v>
      </c>
      <c r="S23" s="155" t="s">
        <v>30</v>
      </c>
      <c r="T23" s="155" t="s">
        <v>30</v>
      </c>
    </row>
    <row r="24" spans="1:113" s="42" customFormat="1" ht="21" customHeight="1" x14ac:dyDescent="0.2">
      <c r="A24" s="157">
        <v>1</v>
      </c>
      <c r="B24" s="157">
        <v>2</v>
      </c>
      <c r="C24" s="157">
        <v>3</v>
      </c>
      <c r="D24" s="157">
        <v>4</v>
      </c>
      <c r="E24" s="157">
        <v>5</v>
      </c>
      <c r="F24" s="157">
        <v>6</v>
      </c>
      <c r="G24" s="157">
        <v>7</v>
      </c>
      <c r="H24" s="157">
        <v>8</v>
      </c>
      <c r="I24" s="157">
        <v>9</v>
      </c>
      <c r="J24" s="157">
        <v>10</v>
      </c>
      <c r="K24" s="157">
        <v>11</v>
      </c>
      <c r="L24" s="157">
        <v>12</v>
      </c>
      <c r="M24" s="157">
        <v>13</v>
      </c>
      <c r="N24" s="157">
        <v>14</v>
      </c>
      <c r="O24" s="157">
        <v>15</v>
      </c>
      <c r="P24" s="157">
        <v>16</v>
      </c>
      <c r="Q24" s="157">
        <v>17</v>
      </c>
      <c r="R24" s="157">
        <v>18</v>
      </c>
      <c r="S24" s="157">
        <v>19</v>
      </c>
      <c r="T24" s="157">
        <v>20</v>
      </c>
    </row>
    <row r="25" spans="1:113" s="164" customFormat="1" ht="24.75" customHeight="1" x14ac:dyDescent="0.25">
      <c r="A25" s="159">
        <v>1</v>
      </c>
      <c r="B25" s="161" t="s">
        <v>300</v>
      </c>
      <c r="C25" s="158" t="s">
        <v>300</v>
      </c>
      <c r="D25" s="162" t="s">
        <v>300</v>
      </c>
      <c r="E25" s="163" t="s">
        <v>300</v>
      </c>
      <c r="F25" s="162" t="s">
        <v>300</v>
      </c>
      <c r="G25" s="161" t="s">
        <v>300</v>
      </c>
      <c r="H25" s="161" t="s">
        <v>300</v>
      </c>
      <c r="I25" s="161" t="s">
        <v>300</v>
      </c>
      <c r="J25" s="161" t="s">
        <v>300</v>
      </c>
      <c r="K25" s="161" t="s">
        <v>300</v>
      </c>
      <c r="L25" s="161" t="s">
        <v>300</v>
      </c>
      <c r="M25" s="159" t="s">
        <v>300</v>
      </c>
      <c r="N25" s="159" t="s">
        <v>300</v>
      </c>
      <c r="O25" s="159" t="s">
        <v>300</v>
      </c>
      <c r="P25" s="160" t="s">
        <v>300</v>
      </c>
      <c r="Q25" s="160" t="s">
        <v>300</v>
      </c>
      <c r="R25" s="160" t="s">
        <v>300</v>
      </c>
      <c r="S25" s="160" t="s">
        <v>300</v>
      </c>
      <c r="T25" s="160" t="s">
        <v>300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A15:T15"/>
    <mergeCell ref="A14:T14"/>
    <mergeCell ref="A16:T16"/>
    <mergeCell ref="L21:M22"/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3:T13"/>
    <mergeCell ref="A20:T20"/>
    <mergeCell ref="K21:K22"/>
    <mergeCell ref="A18:T18"/>
    <mergeCell ref="G21:H22"/>
    <mergeCell ref="I21:J22"/>
    <mergeCell ref="A17:T17"/>
    <mergeCell ref="N21:O22"/>
    <mergeCell ref="B21:C22"/>
    <mergeCell ref="A19:T19"/>
    <mergeCell ref="D21:D23"/>
    <mergeCell ref="P21:P22"/>
  </mergeCells>
  <phoneticPr fontId="46" type="noConversion"/>
  <pageMargins left="0.21" right="0.17" top="0.78740157480314965" bottom="0.39370078740157483" header="0.19685039370078741" footer="0.19685039370078741"/>
  <pageSetup paperSize="8" scale="6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E10" zoomScale="85" zoomScaleNormal="100" zoomScaleSheetLayoutView="85" workbookViewId="0">
      <selection activeCell="I30" sqref="I30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53" t="str">
        <f>'1. паспорт местоположение'!$A$5</f>
        <v>Год раскрытия информации: 2019 год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</row>
    <row r="6" spans="1:27" s="10" customForma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7" s="10" customFormat="1" ht="18.75" x14ac:dyDescent="0.2">
      <c r="E7" s="257" t="s">
        <v>5</v>
      </c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58" t="s">
        <v>281</v>
      </c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</row>
    <row r="10" spans="1:27" s="10" customFormat="1" ht="18.75" customHeight="1" x14ac:dyDescent="0.2">
      <c r="E10" s="254" t="s">
        <v>4</v>
      </c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58" t="str">
        <f>'1. паспорт местоположение'!$A$12</f>
        <v>I_Che149</v>
      </c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</row>
    <row r="13" spans="1:27" s="10" customFormat="1" ht="18.75" customHeight="1" x14ac:dyDescent="0.2">
      <c r="E13" s="254" t="s">
        <v>3</v>
      </c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76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</row>
    <row r="16" spans="1:27" s="2" customFormat="1" ht="15" customHeight="1" x14ac:dyDescent="0.2">
      <c r="E16" s="254" t="s">
        <v>2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</row>
    <row r="19" spans="1:27" ht="25.5" customHeight="1" x14ac:dyDescent="0.25">
      <c r="A19" s="256" t="s">
        <v>256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</row>
    <row r="20" spans="1:27" s="44" customFormat="1" ht="21" customHeight="1" x14ac:dyDescent="0.25"/>
    <row r="21" spans="1:27" ht="15.75" customHeight="1" x14ac:dyDescent="0.25">
      <c r="A21" s="284" t="s">
        <v>1</v>
      </c>
      <c r="B21" s="287" t="s">
        <v>261</v>
      </c>
      <c r="C21" s="288"/>
      <c r="D21" s="287" t="s">
        <v>263</v>
      </c>
      <c r="E21" s="288"/>
      <c r="F21" s="291" t="s">
        <v>29</v>
      </c>
      <c r="G21" s="292"/>
      <c r="H21" s="292"/>
      <c r="I21" s="293"/>
      <c r="J21" s="284" t="s">
        <v>264</v>
      </c>
      <c r="K21" s="287" t="s">
        <v>265</v>
      </c>
      <c r="L21" s="288"/>
      <c r="M21" s="287" t="s">
        <v>266</v>
      </c>
      <c r="N21" s="288"/>
      <c r="O21" s="287" t="s">
        <v>255</v>
      </c>
      <c r="P21" s="288"/>
      <c r="Q21" s="287" t="s">
        <v>46</v>
      </c>
      <c r="R21" s="288"/>
      <c r="S21" s="284" t="s">
        <v>45</v>
      </c>
      <c r="T21" s="284" t="s">
        <v>267</v>
      </c>
      <c r="U21" s="284" t="s">
        <v>262</v>
      </c>
      <c r="V21" s="287" t="s">
        <v>44</v>
      </c>
      <c r="W21" s="288"/>
      <c r="X21" s="291" t="s">
        <v>36</v>
      </c>
      <c r="Y21" s="292"/>
      <c r="Z21" s="291" t="s">
        <v>35</v>
      </c>
      <c r="AA21" s="292"/>
    </row>
    <row r="22" spans="1:27" ht="141" customHeight="1" x14ac:dyDescent="0.25">
      <c r="A22" s="285"/>
      <c r="B22" s="289"/>
      <c r="C22" s="290"/>
      <c r="D22" s="289"/>
      <c r="E22" s="290"/>
      <c r="F22" s="291" t="s">
        <v>43</v>
      </c>
      <c r="G22" s="293"/>
      <c r="H22" s="291" t="s">
        <v>42</v>
      </c>
      <c r="I22" s="293"/>
      <c r="J22" s="286"/>
      <c r="K22" s="289"/>
      <c r="L22" s="290"/>
      <c r="M22" s="289"/>
      <c r="N22" s="290"/>
      <c r="O22" s="289"/>
      <c r="P22" s="290"/>
      <c r="Q22" s="289"/>
      <c r="R22" s="290"/>
      <c r="S22" s="286"/>
      <c r="T22" s="286"/>
      <c r="U22" s="286"/>
      <c r="V22" s="289"/>
      <c r="W22" s="290"/>
      <c r="X22" s="70" t="s">
        <v>34</v>
      </c>
      <c r="Y22" s="70" t="s">
        <v>253</v>
      </c>
      <c r="Z22" s="70" t="s">
        <v>33</v>
      </c>
      <c r="AA22" s="70" t="s">
        <v>32</v>
      </c>
    </row>
    <row r="23" spans="1:27" ht="60" customHeight="1" x14ac:dyDescent="0.25">
      <c r="A23" s="286"/>
      <c r="B23" s="71" t="s">
        <v>30</v>
      </c>
      <c r="C23" s="71" t="s">
        <v>31</v>
      </c>
      <c r="D23" s="71" t="s">
        <v>30</v>
      </c>
      <c r="E23" s="71" t="s">
        <v>31</v>
      </c>
      <c r="F23" s="71" t="s">
        <v>30</v>
      </c>
      <c r="G23" s="71" t="s">
        <v>31</v>
      </c>
      <c r="H23" s="71" t="s">
        <v>30</v>
      </c>
      <c r="I23" s="71" t="s">
        <v>31</v>
      </c>
      <c r="J23" s="71" t="s">
        <v>30</v>
      </c>
      <c r="K23" s="71" t="s">
        <v>30</v>
      </c>
      <c r="L23" s="71" t="s">
        <v>31</v>
      </c>
      <c r="M23" s="71" t="s">
        <v>30</v>
      </c>
      <c r="N23" s="71" t="s">
        <v>31</v>
      </c>
      <c r="O23" s="71" t="s">
        <v>30</v>
      </c>
      <c r="P23" s="71" t="s">
        <v>31</v>
      </c>
      <c r="Q23" s="71" t="s">
        <v>30</v>
      </c>
      <c r="R23" s="71" t="s">
        <v>31</v>
      </c>
      <c r="S23" s="71" t="s">
        <v>30</v>
      </c>
      <c r="T23" s="71" t="s">
        <v>30</v>
      </c>
      <c r="U23" s="71" t="s">
        <v>30</v>
      </c>
      <c r="V23" s="71" t="s">
        <v>30</v>
      </c>
      <c r="W23" s="71" t="s">
        <v>31</v>
      </c>
      <c r="X23" s="71" t="s">
        <v>30</v>
      </c>
      <c r="Y23" s="71" t="s">
        <v>30</v>
      </c>
      <c r="Z23" s="70" t="s">
        <v>30</v>
      </c>
      <c r="AA23" s="70" t="s">
        <v>30</v>
      </c>
    </row>
    <row r="24" spans="1:27" x14ac:dyDescent="0.25">
      <c r="A24" s="72">
        <v>1</v>
      </c>
      <c r="B24" s="72">
        <v>2</v>
      </c>
      <c r="C24" s="72">
        <v>3</v>
      </c>
      <c r="D24" s="72">
        <v>4</v>
      </c>
      <c r="E24" s="72">
        <v>5</v>
      </c>
      <c r="F24" s="72">
        <v>6</v>
      </c>
      <c r="G24" s="72">
        <v>7</v>
      </c>
      <c r="H24" s="72">
        <v>8</v>
      </c>
      <c r="I24" s="72">
        <v>9</v>
      </c>
      <c r="J24" s="72">
        <v>10</v>
      </c>
      <c r="K24" s="72">
        <v>11</v>
      </c>
      <c r="L24" s="72">
        <v>12</v>
      </c>
      <c r="M24" s="72">
        <v>13</v>
      </c>
      <c r="N24" s="72">
        <v>14</v>
      </c>
      <c r="O24" s="72">
        <v>15</v>
      </c>
      <c r="P24" s="72">
        <v>16</v>
      </c>
      <c r="Q24" s="72">
        <v>19</v>
      </c>
      <c r="R24" s="72">
        <v>20</v>
      </c>
      <c r="S24" s="72">
        <v>21</v>
      </c>
      <c r="T24" s="72">
        <v>22</v>
      </c>
      <c r="U24" s="72">
        <v>23</v>
      </c>
      <c r="V24" s="72">
        <v>24</v>
      </c>
      <c r="W24" s="72">
        <v>25</v>
      </c>
      <c r="X24" s="72">
        <v>26</v>
      </c>
      <c r="Y24" s="72">
        <v>27</v>
      </c>
      <c r="Z24" s="72">
        <v>28</v>
      </c>
      <c r="AA24" s="72">
        <v>29</v>
      </c>
    </row>
    <row r="25" spans="1:27" ht="47.25" x14ac:dyDescent="0.25">
      <c r="A25" s="105">
        <v>1</v>
      </c>
      <c r="B25" s="47" t="s">
        <v>300</v>
      </c>
      <c r="C25" s="152" t="s">
        <v>465</v>
      </c>
      <c r="D25" s="105"/>
      <c r="E25" s="152" t="s">
        <v>440</v>
      </c>
      <c r="F25" s="105"/>
      <c r="G25" s="105"/>
      <c r="H25" s="105"/>
      <c r="I25" s="105"/>
      <c r="J25" s="46">
        <v>2018</v>
      </c>
      <c r="K25" s="105"/>
      <c r="L25" s="153">
        <v>1</v>
      </c>
      <c r="M25" s="105"/>
      <c r="N25" s="150" t="s">
        <v>441</v>
      </c>
      <c r="O25" s="104" t="s">
        <v>300</v>
      </c>
      <c r="P25" s="150" t="s">
        <v>279</v>
      </c>
      <c r="Q25" s="105"/>
      <c r="R25" s="153">
        <v>10.6</v>
      </c>
      <c r="S25" s="45" t="s">
        <v>300</v>
      </c>
      <c r="T25" s="45" t="s">
        <v>300</v>
      </c>
      <c r="U25" s="45" t="s">
        <v>300</v>
      </c>
      <c r="V25" s="45" t="s">
        <v>300</v>
      </c>
      <c r="W25" s="104" t="s">
        <v>291</v>
      </c>
      <c r="X25" s="47" t="s">
        <v>300</v>
      </c>
      <c r="Y25" s="47" t="s">
        <v>300</v>
      </c>
      <c r="Z25" s="47" t="s">
        <v>300</v>
      </c>
      <c r="AA25" s="47" t="s">
        <v>300</v>
      </c>
    </row>
  </sheetData>
  <mergeCells count="27"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honeticPr fontId="46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B13" zoomScale="80" zoomScaleNormal="100" zoomScaleSheetLayoutView="8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53" t="str">
        <f>'1. паспорт местоположение'!$A$5</f>
        <v>Год раскрытия информации: 2019 год</v>
      </c>
      <c r="B5" s="253"/>
      <c r="C5" s="253"/>
      <c r="D5" s="85"/>
    </row>
    <row r="6" spans="1:4" s="10" customFormat="1" ht="7.5" customHeight="1" x14ac:dyDescent="0.2">
      <c r="A6" s="15"/>
    </row>
    <row r="7" spans="1:4" s="10" customFormat="1" ht="18.75" x14ac:dyDescent="0.2">
      <c r="A7" s="257" t="s">
        <v>5</v>
      </c>
      <c r="B7" s="257"/>
      <c r="C7" s="257"/>
    </row>
    <row r="8" spans="1:4" s="10" customFormat="1" ht="9.75" customHeight="1" x14ac:dyDescent="0.2">
      <c r="A8" s="257"/>
      <c r="B8" s="257"/>
      <c r="C8" s="257"/>
    </row>
    <row r="9" spans="1:4" s="10" customFormat="1" ht="15.75" x14ac:dyDescent="0.2">
      <c r="A9" s="258" t="s">
        <v>281</v>
      </c>
      <c r="B9" s="258"/>
      <c r="C9" s="258"/>
    </row>
    <row r="10" spans="1:4" s="10" customFormat="1" ht="15.75" x14ac:dyDescent="0.2">
      <c r="A10" s="254" t="s">
        <v>4</v>
      </c>
      <c r="B10" s="254"/>
      <c r="C10" s="254"/>
    </row>
    <row r="11" spans="1:4" s="10" customFormat="1" ht="10.5" customHeight="1" x14ac:dyDescent="0.2">
      <c r="A11" s="257"/>
      <c r="B11" s="257"/>
      <c r="C11" s="257"/>
    </row>
    <row r="12" spans="1:4" s="10" customFormat="1" ht="15.75" x14ac:dyDescent="0.2">
      <c r="A12" s="258" t="str">
        <f>'1. паспорт местоположение'!$A$12</f>
        <v>I_Che149</v>
      </c>
      <c r="B12" s="258"/>
      <c r="C12" s="258"/>
    </row>
    <row r="13" spans="1:4" s="10" customFormat="1" ht="15.75" x14ac:dyDescent="0.2">
      <c r="A13" s="254" t="s">
        <v>3</v>
      </c>
      <c r="B13" s="254"/>
      <c r="C13" s="254"/>
    </row>
    <row r="14" spans="1:4" s="7" customFormat="1" ht="15.75" customHeight="1" x14ac:dyDescent="0.2">
      <c r="A14" s="261"/>
      <c r="B14" s="261"/>
      <c r="C14" s="261"/>
    </row>
    <row r="15" spans="1:4" s="2" customFormat="1" ht="98.25" customHeight="1" x14ac:dyDescent="0.2">
      <c r="A15" s="294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294"/>
      <c r="C15" s="294"/>
    </row>
    <row r="16" spans="1:4" s="2" customFormat="1" ht="15" customHeight="1" x14ac:dyDescent="0.2">
      <c r="A16" s="254" t="s">
        <v>2</v>
      </c>
      <c r="B16" s="254"/>
      <c r="C16" s="254"/>
    </row>
    <row r="17" spans="1:3" s="2" customFormat="1" ht="9" customHeight="1" x14ac:dyDescent="0.2">
      <c r="A17" s="270"/>
      <c r="B17" s="270"/>
      <c r="C17" s="270"/>
    </row>
    <row r="18" spans="1:3" s="2" customFormat="1" ht="27.75" customHeight="1" x14ac:dyDescent="0.2">
      <c r="A18" s="255" t="s">
        <v>251</v>
      </c>
      <c r="B18" s="255"/>
      <c r="C18" s="255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38" customFormat="1" ht="32.25" customHeight="1" x14ac:dyDescent="0.25">
      <c r="A22" s="136" t="s">
        <v>18</v>
      </c>
      <c r="B22" s="24" t="s">
        <v>259</v>
      </c>
      <c r="C22" s="137" t="s">
        <v>466</v>
      </c>
    </row>
    <row r="23" spans="1:3" s="139" customFormat="1" ht="31.5" x14ac:dyDescent="0.25">
      <c r="A23" s="136" t="s">
        <v>17</v>
      </c>
      <c r="B23" s="20" t="s">
        <v>14</v>
      </c>
      <c r="C23" s="19" t="s">
        <v>467</v>
      </c>
    </row>
    <row r="24" spans="1:3" s="139" customFormat="1" ht="118.5" customHeight="1" x14ac:dyDescent="0.25">
      <c r="A24" s="136" t="s">
        <v>16</v>
      </c>
      <c r="B24" s="86" t="s">
        <v>271</v>
      </c>
      <c r="C24" s="19" t="s">
        <v>468</v>
      </c>
    </row>
    <row r="25" spans="1:3" s="139" customFormat="1" ht="38.25" customHeight="1" x14ac:dyDescent="0.25">
      <c r="A25" s="136" t="s">
        <v>15</v>
      </c>
      <c r="B25" s="86" t="s">
        <v>272</v>
      </c>
      <c r="C25" s="151" t="s">
        <v>469</v>
      </c>
    </row>
    <row r="26" spans="1:3" s="139" customFormat="1" ht="33" customHeight="1" x14ac:dyDescent="0.25">
      <c r="A26" s="136" t="s">
        <v>13</v>
      </c>
      <c r="B26" s="20" t="s">
        <v>150</v>
      </c>
      <c r="C26" s="19" t="s">
        <v>470</v>
      </c>
    </row>
    <row r="27" spans="1:3" s="139" customFormat="1" ht="78.75" x14ac:dyDescent="0.25">
      <c r="A27" s="136" t="s">
        <v>12</v>
      </c>
      <c r="B27" s="20" t="s">
        <v>260</v>
      </c>
      <c r="C27" s="19" t="s">
        <v>471</v>
      </c>
    </row>
    <row r="28" spans="1:3" s="139" customFormat="1" ht="27.75" customHeight="1" x14ac:dyDescent="0.25">
      <c r="A28" s="136" t="s">
        <v>10</v>
      </c>
      <c r="B28" s="20" t="s">
        <v>11</v>
      </c>
      <c r="C28" s="239">
        <f>VLOOKUP($A$12,'[1]6.2. отчет'!$D:$OP,399,0)</f>
        <v>2018</v>
      </c>
    </row>
    <row r="29" spans="1:3" s="139" customFormat="1" ht="22.5" customHeight="1" x14ac:dyDescent="0.25">
      <c r="A29" s="136" t="s">
        <v>8</v>
      </c>
      <c r="B29" s="19" t="s">
        <v>9</v>
      </c>
      <c r="C29" s="239">
        <f>VLOOKUP($A$12,'[1]6.2. отчет'!$D:$OP,402,0)</f>
        <v>2019</v>
      </c>
    </row>
    <row r="30" spans="1:3" s="139" customFormat="1" ht="24.75" customHeight="1" x14ac:dyDescent="0.25">
      <c r="A30" s="136" t="s">
        <v>26</v>
      </c>
      <c r="B30" s="19" t="s">
        <v>7</v>
      </c>
      <c r="C30" s="239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1:C11"/>
    <mergeCell ref="A5:C5"/>
    <mergeCell ref="A7:C7"/>
    <mergeCell ref="A8:C8"/>
    <mergeCell ref="A9:C9"/>
    <mergeCell ref="A10:C10"/>
    <mergeCell ref="A15:C15"/>
    <mergeCell ref="A16:C16"/>
    <mergeCell ref="A17:C17"/>
    <mergeCell ref="A18:C18"/>
    <mergeCell ref="A12:C12"/>
    <mergeCell ref="A13:C13"/>
    <mergeCell ref="A14:C14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E10" zoomScale="70" zoomScaleNormal="80" zoomScaleSheetLayoutView="70" workbookViewId="0">
      <selection activeCell="E38" sqref="E3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53" t="str">
        <f>'1. паспорт местоположение'!$A$5</f>
        <v>Год раскрытия информации: 2019 год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</row>
    <row r="5" spans="1:28" s="10" customFormat="1" ht="15.75" x14ac:dyDescent="0.2">
      <c r="A5" s="15"/>
      <c r="H5" s="14"/>
    </row>
    <row r="6" spans="1:28" s="10" customFormat="1" ht="18.75" x14ac:dyDescent="0.2">
      <c r="A6" s="257" t="s">
        <v>5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</row>
    <row r="7" spans="1:28" s="10" customFormat="1" ht="18.75" x14ac:dyDescent="0.2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</row>
    <row r="8" spans="1:28" s="10" customFormat="1" ht="18.75" customHeight="1" x14ac:dyDescent="0.2">
      <c r="A8" s="258" t="s">
        <v>293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8" s="10" customFormat="1" ht="18.75" customHeight="1" x14ac:dyDescent="0.2">
      <c r="A9" s="254" t="s">
        <v>4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</row>
    <row r="10" spans="1:28" s="10" customFormat="1" ht="18.75" x14ac:dyDescent="0.2">
      <c r="A10" s="257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</row>
    <row r="11" spans="1:28" s="10" customFormat="1" ht="18.75" customHeight="1" x14ac:dyDescent="0.2">
      <c r="A11" s="258" t="str">
        <f>'1. паспорт местоположение'!A12:C12</f>
        <v>I_Che149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</row>
    <row r="12" spans="1:28" s="10" customFormat="1" ht="18.75" customHeight="1" x14ac:dyDescent="0.2">
      <c r="A12" s="254" t="s">
        <v>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</row>
    <row r="13" spans="1:28" s="7" customFormat="1" ht="15.75" customHeight="1" x14ac:dyDescent="0.2">
      <c r="A13" s="261"/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8" s="2" customFormat="1" ht="95.25" customHeight="1" x14ac:dyDescent="0.2">
      <c r="A14" s="276" t="str">
        <f>'1. паспорт местоположение'!A15:C15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</row>
    <row r="15" spans="1:28" s="2" customFormat="1" ht="15" customHeight="1" x14ac:dyDescent="0.2">
      <c r="A15" s="254" t="s">
        <v>2</v>
      </c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</row>
    <row r="16" spans="1:28" s="115" customFormat="1" x14ac:dyDescent="0.25">
      <c r="A16" s="295"/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114"/>
      <c r="AB16" s="114"/>
    </row>
    <row r="17" spans="1:28" s="115" customFormat="1" x14ac:dyDescent="0.25">
      <c r="A17" s="295"/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5"/>
      <c r="T17" s="295"/>
      <c r="U17" s="295"/>
      <c r="V17" s="295"/>
      <c r="W17" s="295"/>
      <c r="X17" s="295"/>
      <c r="Y17" s="295"/>
      <c r="Z17" s="295"/>
      <c r="AA17" s="114"/>
      <c r="AB17" s="114"/>
    </row>
    <row r="18" spans="1:28" s="115" customFormat="1" x14ac:dyDescent="0.25">
      <c r="A18" s="295"/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114"/>
      <c r="AB18" s="114"/>
    </row>
    <row r="19" spans="1:28" x14ac:dyDescent="0.25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116"/>
      <c r="AB19" s="116"/>
    </row>
    <row r="20" spans="1:28" x14ac:dyDescent="0.25">
      <c r="A20" s="295"/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114"/>
      <c r="AB20" s="114"/>
    </row>
    <row r="21" spans="1:28" x14ac:dyDescent="0.25">
      <c r="A21" s="295"/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114"/>
      <c r="AB21" s="114"/>
    </row>
    <row r="22" spans="1:28" x14ac:dyDescent="0.25">
      <c r="A22" s="301" t="s">
        <v>323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117"/>
      <c r="AB22" s="117"/>
    </row>
    <row r="23" spans="1:28" ht="32.25" customHeight="1" x14ac:dyDescent="0.25">
      <c r="A23" s="296" t="s">
        <v>324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  <c r="L23" s="298"/>
      <c r="M23" s="299" t="s">
        <v>325</v>
      </c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</row>
    <row r="24" spans="1:28" ht="151.5" customHeight="1" x14ac:dyDescent="0.25">
      <c r="A24" s="118" t="s">
        <v>326</v>
      </c>
      <c r="B24" s="119" t="s">
        <v>327</v>
      </c>
      <c r="C24" s="118" t="s">
        <v>328</v>
      </c>
      <c r="D24" s="118" t="s">
        <v>329</v>
      </c>
      <c r="E24" s="118" t="s">
        <v>330</v>
      </c>
      <c r="F24" s="118" t="s">
        <v>331</v>
      </c>
      <c r="G24" s="118" t="s">
        <v>332</v>
      </c>
      <c r="H24" s="118" t="s">
        <v>333</v>
      </c>
      <c r="I24" s="118" t="s">
        <v>334</v>
      </c>
      <c r="J24" s="118" t="s">
        <v>335</v>
      </c>
      <c r="K24" s="119" t="s">
        <v>336</v>
      </c>
      <c r="L24" s="119" t="s">
        <v>337</v>
      </c>
      <c r="M24" s="120" t="s">
        <v>338</v>
      </c>
      <c r="N24" s="119" t="s">
        <v>339</v>
      </c>
      <c r="O24" s="118" t="s">
        <v>340</v>
      </c>
      <c r="P24" s="118" t="s">
        <v>341</v>
      </c>
      <c r="Q24" s="118" t="s">
        <v>342</v>
      </c>
      <c r="R24" s="118" t="s">
        <v>333</v>
      </c>
      <c r="S24" s="118" t="s">
        <v>343</v>
      </c>
      <c r="T24" s="118" t="s">
        <v>344</v>
      </c>
      <c r="U24" s="118" t="s">
        <v>345</v>
      </c>
      <c r="V24" s="118" t="s">
        <v>342</v>
      </c>
      <c r="W24" s="121" t="s">
        <v>346</v>
      </c>
      <c r="X24" s="121" t="s">
        <v>347</v>
      </c>
      <c r="Y24" s="121" t="s">
        <v>348</v>
      </c>
      <c r="Z24" s="122" t="s">
        <v>349</v>
      </c>
    </row>
    <row r="25" spans="1:28" ht="16.5" customHeight="1" x14ac:dyDescent="0.25">
      <c r="A25" s="118">
        <v>1</v>
      </c>
      <c r="B25" s="119">
        <v>2</v>
      </c>
      <c r="C25" s="118">
        <v>3</v>
      </c>
      <c r="D25" s="119">
        <v>4</v>
      </c>
      <c r="E25" s="118">
        <v>5</v>
      </c>
      <c r="F25" s="119">
        <v>6</v>
      </c>
      <c r="G25" s="118">
        <v>7</v>
      </c>
      <c r="H25" s="119">
        <v>8</v>
      </c>
      <c r="I25" s="118">
        <v>9</v>
      </c>
      <c r="J25" s="119">
        <v>10</v>
      </c>
      <c r="K25" s="118">
        <v>11</v>
      </c>
      <c r="L25" s="119">
        <v>12</v>
      </c>
      <c r="M25" s="118">
        <v>13</v>
      </c>
      <c r="N25" s="119">
        <v>14</v>
      </c>
      <c r="O25" s="118">
        <v>15</v>
      </c>
      <c r="P25" s="119">
        <v>16</v>
      </c>
      <c r="Q25" s="118">
        <v>17</v>
      </c>
      <c r="R25" s="119">
        <v>18</v>
      </c>
      <c r="S25" s="118">
        <v>19</v>
      </c>
      <c r="T25" s="119">
        <v>20</v>
      </c>
      <c r="U25" s="118">
        <v>21</v>
      </c>
      <c r="V25" s="119">
        <v>22</v>
      </c>
      <c r="W25" s="118">
        <v>23</v>
      </c>
      <c r="X25" s="119">
        <v>24</v>
      </c>
      <c r="Y25" s="118">
        <v>25</v>
      </c>
      <c r="Z25" s="119">
        <v>26</v>
      </c>
    </row>
    <row r="26" spans="1:28" ht="45.75" customHeight="1" x14ac:dyDescent="0.25">
      <c r="A26" s="123" t="s">
        <v>350</v>
      </c>
      <c r="B26" s="69"/>
      <c r="C26" s="124" t="s">
        <v>351</v>
      </c>
      <c r="D26" s="124" t="s">
        <v>352</v>
      </c>
      <c r="E26" s="124" t="s">
        <v>353</v>
      </c>
      <c r="F26" s="124" t="s">
        <v>354</v>
      </c>
      <c r="G26" s="124" t="s">
        <v>355</v>
      </c>
      <c r="H26" s="124" t="s">
        <v>333</v>
      </c>
      <c r="I26" s="124" t="s">
        <v>356</v>
      </c>
      <c r="J26" s="124" t="s">
        <v>357</v>
      </c>
      <c r="K26" s="125"/>
      <c r="L26" s="126" t="s">
        <v>358</v>
      </c>
      <c r="M26" s="127" t="s">
        <v>290</v>
      </c>
      <c r="N26" s="125" t="s">
        <v>300</v>
      </c>
      <c r="O26" s="125" t="s">
        <v>300</v>
      </c>
      <c r="P26" s="125" t="s">
        <v>300</v>
      </c>
      <c r="Q26" s="125" t="s">
        <v>300</v>
      </c>
      <c r="R26" s="125" t="s">
        <v>300</v>
      </c>
      <c r="S26" s="125" t="s">
        <v>300</v>
      </c>
      <c r="T26" s="125" t="s">
        <v>300</v>
      </c>
      <c r="U26" s="125" t="s">
        <v>300</v>
      </c>
      <c r="V26" s="125" t="s">
        <v>300</v>
      </c>
      <c r="W26" s="125" t="s">
        <v>300</v>
      </c>
      <c r="X26" s="125" t="s">
        <v>300</v>
      </c>
      <c r="Y26" s="125" t="s">
        <v>300</v>
      </c>
      <c r="Z26" s="128" t="s">
        <v>359</v>
      </c>
    </row>
    <row r="27" spans="1:28" x14ac:dyDescent="0.25">
      <c r="A27" s="125" t="s">
        <v>360</v>
      </c>
      <c r="B27" s="125" t="s">
        <v>361</v>
      </c>
      <c r="C27" s="125" t="s">
        <v>300</v>
      </c>
      <c r="D27" s="125" t="s">
        <v>300</v>
      </c>
      <c r="E27" s="125" t="s">
        <v>300</v>
      </c>
      <c r="F27" s="125" t="s">
        <v>300</v>
      </c>
      <c r="G27" s="125" t="s">
        <v>300</v>
      </c>
      <c r="H27" s="125" t="s">
        <v>300</v>
      </c>
      <c r="I27" s="125" t="s">
        <v>300</v>
      </c>
      <c r="J27" s="125" t="s">
        <v>300</v>
      </c>
      <c r="K27" s="126" t="s">
        <v>362</v>
      </c>
      <c r="L27" s="125" t="s">
        <v>300</v>
      </c>
      <c r="M27" s="126" t="s">
        <v>280</v>
      </c>
      <c r="N27" s="125" t="s">
        <v>300</v>
      </c>
      <c r="O27" s="125" t="s">
        <v>300</v>
      </c>
      <c r="P27" s="125" t="s">
        <v>300</v>
      </c>
      <c r="Q27" s="125" t="s">
        <v>300</v>
      </c>
      <c r="R27" s="125" t="s">
        <v>300</v>
      </c>
      <c r="S27" s="125" t="s">
        <v>300</v>
      </c>
      <c r="T27" s="125" t="s">
        <v>300</v>
      </c>
      <c r="U27" s="125" t="s">
        <v>300</v>
      </c>
      <c r="V27" s="125" t="s">
        <v>300</v>
      </c>
      <c r="W27" s="125" t="s">
        <v>300</v>
      </c>
      <c r="X27" s="125" t="s">
        <v>300</v>
      </c>
      <c r="Y27" s="125" t="s">
        <v>300</v>
      </c>
      <c r="Z27" s="125" t="s">
        <v>300</v>
      </c>
    </row>
    <row r="28" spans="1:28" x14ac:dyDescent="0.25">
      <c r="A28" s="125" t="s">
        <v>360</v>
      </c>
      <c r="B28" s="125" t="s">
        <v>363</v>
      </c>
      <c r="C28" s="125" t="s">
        <v>300</v>
      </c>
      <c r="D28" s="125" t="s">
        <v>300</v>
      </c>
      <c r="E28" s="125" t="s">
        <v>300</v>
      </c>
      <c r="F28" s="125" t="s">
        <v>300</v>
      </c>
      <c r="G28" s="125" t="s">
        <v>300</v>
      </c>
      <c r="H28" s="125" t="s">
        <v>300</v>
      </c>
      <c r="I28" s="125" t="s">
        <v>300</v>
      </c>
      <c r="J28" s="125" t="s">
        <v>300</v>
      </c>
      <c r="K28" s="126" t="s">
        <v>364</v>
      </c>
      <c r="L28" s="125" t="s">
        <v>300</v>
      </c>
      <c r="M28" s="126" t="s">
        <v>365</v>
      </c>
      <c r="N28" s="125" t="s">
        <v>300</v>
      </c>
      <c r="O28" s="125" t="s">
        <v>300</v>
      </c>
      <c r="P28" s="125" t="s">
        <v>300</v>
      </c>
      <c r="Q28" s="125" t="s">
        <v>300</v>
      </c>
      <c r="R28" s="125" t="s">
        <v>300</v>
      </c>
      <c r="S28" s="125" t="s">
        <v>300</v>
      </c>
      <c r="T28" s="125" t="s">
        <v>300</v>
      </c>
      <c r="U28" s="125" t="s">
        <v>300</v>
      </c>
      <c r="V28" s="125" t="s">
        <v>300</v>
      </c>
      <c r="W28" s="125" t="s">
        <v>300</v>
      </c>
      <c r="X28" s="125" t="s">
        <v>300</v>
      </c>
      <c r="Y28" s="125" t="s">
        <v>300</v>
      </c>
      <c r="Z28" s="125" t="s">
        <v>300</v>
      </c>
    </row>
    <row r="29" spans="1:28" x14ac:dyDescent="0.25">
      <c r="A29" s="125" t="s">
        <v>360</v>
      </c>
      <c r="B29" s="125" t="s">
        <v>366</v>
      </c>
      <c r="C29" s="125" t="s">
        <v>300</v>
      </c>
      <c r="D29" s="125" t="s">
        <v>300</v>
      </c>
      <c r="E29" s="125" t="s">
        <v>300</v>
      </c>
      <c r="F29" s="125" t="s">
        <v>300</v>
      </c>
      <c r="G29" s="125" t="s">
        <v>300</v>
      </c>
      <c r="H29" s="125" t="s">
        <v>300</v>
      </c>
      <c r="I29" s="125" t="s">
        <v>300</v>
      </c>
      <c r="J29" s="125" t="s">
        <v>300</v>
      </c>
      <c r="K29" s="126" t="s">
        <v>367</v>
      </c>
      <c r="L29" s="125" t="s">
        <v>300</v>
      </c>
      <c r="M29" s="125" t="s">
        <v>300</v>
      </c>
      <c r="N29" s="125" t="s">
        <v>300</v>
      </c>
      <c r="O29" s="125" t="s">
        <v>300</v>
      </c>
      <c r="P29" s="125" t="s">
        <v>300</v>
      </c>
      <c r="Q29" s="125" t="s">
        <v>300</v>
      </c>
      <c r="R29" s="125" t="s">
        <v>300</v>
      </c>
      <c r="S29" s="125" t="s">
        <v>300</v>
      </c>
      <c r="T29" s="125" t="s">
        <v>300</v>
      </c>
      <c r="U29" s="125" t="s">
        <v>300</v>
      </c>
      <c r="V29" s="125" t="s">
        <v>300</v>
      </c>
      <c r="W29" s="125" t="s">
        <v>300</v>
      </c>
      <c r="X29" s="125" t="s">
        <v>300</v>
      </c>
      <c r="Y29" s="125" t="s">
        <v>300</v>
      </c>
      <c r="Z29" s="125" t="s">
        <v>300</v>
      </c>
    </row>
    <row r="30" spans="1:28" x14ac:dyDescent="0.25">
      <c r="A30" s="125" t="s">
        <v>360</v>
      </c>
      <c r="B30" s="125" t="s">
        <v>368</v>
      </c>
      <c r="C30" s="125" t="s">
        <v>300</v>
      </c>
      <c r="D30" s="125" t="s">
        <v>300</v>
      </c>
      <c r="E30" s="125" t="s">
        <v>300</v>
      </c>
      <c r="F30" s="125" t="s">
        <v>300</v>
      </c>
      <c r="G30" s="125" t="s">
        <v>300</v>
      </c>
      <c r="H30" s="125" t="s">
        <v>300</v>
      </c>
      <c r="I30" s="125" t="s">
        <v>300</v>
      </c>
      <c r="J30" s="125" t="s">
        <v>300</v>
      </c>
      <c r="K30" s="126" t="s">
        <v>369</v>
      </c>
      <c r="L30" s="125" t="s">
        <v>300</v>
      </c>
      <c r="M30" s="125" t="s">
        <v>300</v>
      </c>
      <c r="N30" s="125" t="s">
        <v>300</v>
      </c>
      <c r="O30" s="125" t="s">
        <v>300</v>
      </c>
      <c r="P30" s="125" t="s">
        <v>300</v>
      </c>
      <c r="Q30" s="125" t="s">
        <v>300</v>
      </c>
      <c r="R30" s="125" t="s">
        <v>300</v>
      </c>
      <c r="S30" s="125" t="s">
        <v>300</v>
      </c>
      <c r="T30" s="125" t="s">
        <v>300</v>
      </c>
      <c r="U30" s="125" t="s">
        <v>300</v>
      </c>
      <c r="V30" s="125" t="s">
        <v>300</v>
      </c>
      <c r="W30" s="125" t="s">
        <v>300</v>
      </c>
      <c r="X30" s="125" t="s">
        <v>300</v>
      </c>
      <c r="Y30" s="125" t="s">
        <v>300</v>
      </c>
      <c r="Z30" s="125" t="s">
        <v>300</v>
      </c>
    </row>
    <row r="31" spans="1:28" x14ac:dyDescent="0.25">
      <c r="A31" s="125" t="s">
        <v>365</v>
      </c>
      <c r="B31" s="125" t="s">
        <v>365</v>
      </c>
      <c r="C31" s="125" t="s">
        <v>365</v>
      </c>
      <c r="D31" s="125" t="s">
        <v>365</v>
      </c>
      <c r="E31" s="125" t="s">
        <v>365</v>
      </c>
      <c r="F31" s="125" t="s">
        <v>365</v>
      </c>
      <c r="G31" s="125" t="s">
        <v>365</v>
      </c>
      <c r="H31" s="125" t="s">
        <v>365</v>
      </c>
      <c r="I31" s="125" t="s">
        <v>365</v>
      </c>
      <c r="J31" s="125" t="s">
        <v>365</v>
      </c>
      <c r="K31" s="125" t="s">
        <v>365</v>
      </c>
      <c r="L31" s="125" t="s">
        <v>300</v>
      </c>
      <c r="M31" s="125" t="s">
        <v>300</v>
      </c>
      <c r="N31" s="125" t="s">
        <v>300</v>
      </c>
      <c r="O31" s="125" t="s">
        <v>300</v>
      </c>
      <c r="P31" s="125" t="s">
        <v>300</v>
      </c>
      <c r="Q31" s="125" t="s">
        <v>300</v>
      </c>
      <c r="R31" s="125" t="s">
        <v>300</v>
      </c>
      <c r="S31" s="125" t="s">
        <v>300</v>
      </c>
      <c r="T31" s="125" t="s">
        <v>300</v>
      </c>
      <c r="U31" s="125" t="s">
        <v>300</v>
      </c>
      <c r="V31" s="125" t="s">
        <v>300</v>
      </c>
      <c r="W31" s="125" t="s">
        <v>300</v>
      </c>
      <c r="X31" s="125" t="s">
        <v>300</v>
      </c>
      <c r="Y31" s="125" t="s">
        <v>300</v>
      </c>
      <c r="Z31" s="125" t="s">
        <v>300</v>
      </c>
    </row>
    <row r="32" spans="1:28" ht="30" x14ac:dyDescent="0.25">
      <c r="A32" s="69" t="s">
        <v>350</v>
      </c>
      <c r="B32" s="69"/>
      <c r="C32" s="124" t="s">
        <v>370</v>
      </c>
      <c r="D32" s="124" t="s">
        <v>371</v>
      </c>
      <c r="E32" s="124" t="s">
        <v>372</v>
      </c>
      <c r="F32" s="124" t="s">
        <v>373</v>
      </c>
      <c r="G32" s="124" t="s">
        <v>374</v>
      </c>
      <c r="H32" s="124" t="s">
        <v>333</v>
      </c>
      <c r="I32" s="124" t="s">
        <v>375</v>
      </c>
      <c r="J32" s="124" t="s">
        <v>376</v>
      </c>
      <c r="K32" s="125"/>
      <c r="L32" s="125" t="s">
        <v>300</v>
      </c>
      <c r="M32" s="125" t="s">
        <v>300</v>
      </c>
      <c r="N32" s="125" t="s">
        <v>300</v>
      </c>
      <c r="O32" s="125" t="s">
        <v>300</v>
      </c>
      <c r="P32" s="125" t="s">
        <v>300</v>
      </c>
      <c r="Q32" s="125" t="s">
        <v>300</v>
      </c>
      <c r="R32" s="125" t="s">
        <v>300</v>
      </c>
      <c r="S32" s="125" t="s">
        <v>300</v>
      </c>
      <c r="T32" s="125" t="s">
        <v>300</v>
      </c>
      <c r="U32" s="125" t="s">
        <v>300</v>
      </c>
      <c r="V32" s="125" t="s">
        <v>300</v>
      </c>
      <c r="W32" s="125" t="s">
        <v>300</v>
      </c>
      <c r="X32" s="125" t="s">
        <v>300</v>
      </c>
      <c r="Y32" s="125" t="s">
        <v>300</v>
      </c>
      <c r="Z32" s="125" t="s">
        <v>300</v>
      </c>
    </row>
    <row r="33" spans="1:26" x14ac:dyDescent="0.25">
      <c r="A33" s="125" t="s">
        <v>365</v>
      </c>
      <c r="B33" s="125" t="s">
        <v>365</v>
      </c>
      <c r="C33" s="125" t="s">
        <v>365</v>
      </c>
      <c r="D33" s="125" t="s">
        <v>365</v>
      </c>
      <c r="E33" s="125" t="s">
        <v>365</v>
      </c>
      <c r="F33" s="125" t="s">
        <v>365</v>
      </c>
      <c r="G33" s="125" t="s">
        <v>365</v>
      </c>
      <c r="H33" s="125" t="s">
        <v>365</v>
      </c>
      <c r="I33" s="125" t="s">
        <v>365</v>
      </c>
      <c r="J33" s="125" t="s">
        <v>365</v>
      </c>
      <c r="K33" s="125" t="s">
        <v>365</v>
      </c>
      <c r="L33" s="125" t="s">
        <v>300</v>
      </c>
      <c r="M33" s="125" t="s">
        <v>300</v>
      </c>
      <c r="N33" s="125" t="s">
        <v>300</v>
      </c>
      <c r="O33" s="125" t="s">
        <v>300</v>
      </c>
      <c r="P33" s="125" t="s">
        <v>300</v>
      </c>
      <c r="Q33" s="125" t="s">
        <v>300</v>
      </c>
      <c r="R33" s="125" t="s">
        <v>300</v>
      </c>
      <c r="S33" s="125" t="s">
        <v>300</v>
      </c>
      <c r="T33" s="125" t="s">
        <v>300</v>
      </c>
      <c r="U33" s="125" t="s">
        <v>300</v>
      </c>
      <c r="V33" s="125" t="s">
        <v>300</v>
      </c>
      <c r="W33" s="125" t="s">
        <v>300</v>
      </c>
      <c r="X33" s="125" t="s">
        <v>300</v>
      </c>
      <c r="Y33" s="125" t="s">
        <v>300</v>
      </c>
      <c r="Z33" s="125" t="s">
        <v>300</v>
      </c>
    </row>
    <row r="37" spans="1:26" x14ac:dyDescent="0.25">
      <c r="A37" s="129"/>
    </row>
  </sheetData>
  <mergeCells count="20">
    <mergeCell ref="A23:L23"/>
    <mergeCell ref="M23:Z23"/>
    <mergeCell ref="A17:Z17"/>
    <mergeCell ref="A18:Z18"/>
    <mergeCell ref="A19:Z19"/>
    <mergeCell ref="A20:Z20"/>
    <mergeCell ref="A21:Z21"/>
    <mergeCell ref="A22:Z22"/>
    <mergeCell ref="A15:T15"/>
    <mergeCell ref="A16:Z16"/>
    <mergeCell ref="A4:T4"/>
    <mergeCell ref="A6:T6"/>
    <mergeCell ref="A7:T7"/>
    <mergeCell ref="A8:T8"/>
    <mergeCell ref="A9:T9"/>
    <mergeCell ref="A10:T10"/>
    <mergeCell ref="A11:T11"/>
    <mergeCell ref="A12:T12"/>
    <mergeCell ref="A13:T13"/>
    <mergeCell ref="A14:T14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53" t="str">
        <f>'1. паспорт местоположение'!$A$5</f>
        <v>Год раскрытия информации: 2019 год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</row>
    <row r="7" spans="1:20" s="10" customFormat="1" ht="15.75" x14ac:dyDescent="0.2">
      <c r="A7" s="15"/>
      <c r="H7" s="14"/>
    </row>
    <row r="8" spans="1:20" s="10" customFormat="1" ht="18.75" x14ac:dyDescent="0.2">
      <c r="A8" s="257" t="s">
        <v>5</v>
      </c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</row>
    <row r="9" spans="1:20" s="10" customFormat="1" ht="18.75" x14ac:dyDescent="0.2">
      <c r="A9" s="257"/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</row>
    <row r="10" spans="1:20" s="10" customFormat="1" ht="18.75" customHeight="1" x14ac:dyDescent="0.2">
      <c r="A10" s="258" t="s">
        <v>293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0" s="10" customFormat="1" ht="18.75" customHeight="1" x14ac:dyDescent="0.2">
      <c r="A11" s="254" t="s">
        <v>4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</row>
    <row r="12" spans="1:20" s="10" customFormat="1" ht="18.75" x14ac:dyDescent="0.2">
      <c r="A12" s="257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</row>
    <row r="13" spans="1:20" s="10" customFormat="1" ht="18.75" customHeight="1" x14ac:dyDescent="0.2">
      <c r="A13" s="258" t="str">
        <f>'1. паспорт местоположение'!A12:C12</f>
        <v>I_Che149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0" s="10" customFormat="1" ht="18.75" customHeight="1" x14ac:dyDescent="0.2">
      <c r="A14" s="254" t="s">
        <v>3</v>
      </c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</row>
    <row r="15" spans="1:20" s="7" customFormat="1" ht="15.75" customHeight="1" x14ac:dyDescent="0.2">
      <c r="A15" s="261"/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</row>
    <row r="16" spans="1:20" s="2" customFormat="1" ht="56.25" customHeight="1" x14ac:dyDescent="0.2">
      <c r="A16" s="276" t="str">
        <f>'1. паспорт местоположение'!A15:C15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</row>
    <row r="17" spans="1:20" s="2" customFormat="1" ht="15" customHeight="1" x14ac:dyDescent="0.2">
      <c r="A17" s="254" t="s">
        <v>2</v>
      </c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</row>
    <row r="18" spans="1:20" ht="96" customHeight="1" x14ac:dyDescent="0.25">
      <c r="A18" s="305" t="s">
        <v>377</v>
      </c>
      <c r="B18" s="305"/>
      <c r="C18" s="305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</row>
    <row r="19" spans="1:20" ht="15.75" customHeight="1" x14ac:dyDescent="0.25">
      <c r="A19" s="262" t="s">
        <v>1</v>
      </c>
      <c r="B19" s="262" t="s">
        <v>378</v>
      </c>
      <c r="C19" s="262" t="s">
        <v>379</v>
      </c>
      <c r="D19" s="262" t="s">
        <v>380</v>
      </c>
      <c r="E19" s="302" t="s">
        <v>381</v>
      </c>
      <c r="F19" s="303"/>
      <c r="G19" s="303"/>
      <c r="H19" s="303"/>
      <c r="I19" s="304"/>
      <c r="J19" s="302" t="s">
        <v>382</v>
      </c>
      <c r="K19" s="303"/>
      <c r="L19" s="303"/>
      <c r="M19" s="303"/>
      <c r="N19" s="303"/>
      <c r="O19" s="304"/>
    </row>
    <row r="20" spans="1:20" ht="123" customHeight="1" x14ac:dyDescent="0.25">
      <c r="A20" s="262"/>
      <c r="B20" s="262"/>
      <c r="C20" s="262"/>
      <c r="D20" s="262"/>
      <c r="E20" s="111" t="s">
        <v>383</v>
      </c>
      <c r="F20" s="111" t="s">
        <v>384</v>
      </c>
      <c r="G20" s="111" t="s">
        <v>385</v>
      </c>
      <c r="H20" s="111" t="s">
        <v>386</v>
      </c>
      <c r="I20" s="111" t="s">
        <v>387</v>
      </c>
      <c r="J20" s="111" t="s">
        <v>388</v>
      </c>
      <c r="K20" s="111" t="s">
        <v>389</v>
      </c>
      <c r="L20" s="130" t="s">
        <v>390</v>
      </c>
      <c r="M20" s="131" t="s">
        <v>391</v>
      </c>
      <c r="N20" s="131" t="s">
        <v>392</v>
      </c>
      <c r="O20" s="131" t="s">
        <v>393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32" t="s">
        <v>300</v>
      </c>
      <c r="B22" s="132" t="s">
        <v>300</v>
      </c>
      <c r="C22" s="132" t="s">
        <v>300</v>
      </c>
      <c r="D22" s="132" t="s">
        <v>300</v>
      </c>
      <c r="E22" s="132" t="s">
        <v>300</v>
      </c>
      <c r="F22" s="132" t="s">
        <v>300</v>
      </c>
      <c r="G22" s="132" t="s">
        <v>300</v>
      </c>
      <c r="H22" s="132" t="s">
        <v>300</v>
      </c>
      <c r="I22" s="132" t="s">
        <v>300</v>
      </c>
      <c r="J22" s="132" t="s">
        <v>300</v>
      </c>
      <c r="K22" s="132" t="s">
        <v>300</v>
      </c>
      <c r="L22" s="132" t="s">
        <v>300</v>
      </c>
      <c r="M22" s="132" t="s">
        <v>300</v>
      </c>
      <c r="N22" s="132" t="s">
        <v>300</v>
      </c>
      <c r="O22" s="132" t="s">
        <v>300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  <mergeCell ref="A13:T13"/>
    <mergeCell ref="A14:T14"/>
    <mergeCell ref="A6:T6"/>
    <mergeCell ref="A8:T8"/>
    <mergeCell ref="A9:T9"/>
    <mergeCell ref="A10:T10"/>
    <mergeCell ref="A11:T11"/>
    <mergeCell ref="A12:T12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B24" sqref="B24:E24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88"/>
      <c r="B1" s="14"/>
      <c r="C1" s="14"/>
      <c r="D1" s="14"/>
      <c r="E1" s="14"/>
      <c r="F1" s="89" t="s">
        <v>22</v>
      </c>
    </row>
    <row r="2" spans="1:8" ht="18.75" x14ac:dyDescent="0.3">
      <c r="A2" s="88"/>
      <c r="B2" s="14"/>
      <c r="C2" s="14"/>
      <c r="D2" s="14"/>
      <c r="E2" s="14"/>
      <c r="F2" s="90" t="s">
        <v>6</v>
      </c>
    </row>
    <row r="3" spans="1:8" ht="18.75" x14ac:dyDescent="0.3">
      <c r="A3" s="91"/>
      <c r="B3" s="14"/>
      <c r="C3" s="14"/>
      <c r="D3" s="14"/>
      <c r="E3" s="14"/>
      <c r="F3" s="90" t="s">
        <v>21</v>
      </c>
    </row>
    <row r="4" spans="1:8" ht="15.75" x14ac:dyDescent="0.25">
      <c r="A4" s="91"/>
      <c r="B4" s="14"/>
      <c r="C4" s="14"/>
      <c r="D4" s="14"/>
      <c r="E4" s="14"/>
      <c r="F4" s="14"/>
    </row>
    <row r="5" spans="1:8" ht="15.75" x14ac:dyDescent="0.25">
      <c r="A5" s="253" t="str">
        <f>'1. паспорт местоположение'!$A$5</f>
        <v>Год раскрытия информации: 2019 год</v>
      </c>
      <c r="B5" s="253"/>
      <c r="C5" s="253"/>
      <c r="D5" s="253"/>
      <c r="E5" s="253"/>
      <c r="F5" s="253"/>
    </row>
    <row r="6" spans="1:8" ht="15.75" x14ac:dyDescent="0.25">
      <c r="A6" s="92"/>
      <c r="B6" s="93"/>
      <c r="C6" s="93"/>
      <c r="D6" s="93"/>
      <c r="E6" s="93"/>
      <c r="F6" s="93"/>
    </row>
    <row r="7" spans="1:8" ht="18.75" x14ac:dyDescent="0.25">
      <c r="A7" s="314" t="s">
        <v>5</v>
      </c>
      <c r="B7" s="314"/>
      <c r="C7" s="314"/>
      <c r="D7" s="314"/>
      <c r="E7" s="314"/>
      <c r="F7" s="314"/>
    </row>
    <row r="8" spans="1:8" ht="18.75" x14ac:dyDescent="0.25">
      <c r="A8" s="94"/>
      <c r="B8" s="94"/>
      <c r="C8" s="94"/>
      <c r="D8" s="94"/>
      <c r="E8" s="94"/>
      <c r="F8" s="94"/>
    </row>
    <row r="9" spans="1:8" ht="15.75" x14ac:dyDescent="0.25">
      <c r="A9" s="260" t="s">
        <v>281</v>
      </c>
      <c r="B9" s="260"/>
      <c r="C9" s="260"/>
      <c r="D9" s="260"/>
      <c r="E9" s="260"/>
      <c r="F9" s="260"/>
    </row>
    <row r="10" spans="1:8" ht="15.75" x14ac:dyDescent="0.25">
      <c r="A10" s="309" t="s">
        <v>4</v>
      </c>
      <c r="B10" s="309"/>
      <c r="C10" s="309"/>
      <c r="D10" s="309"/>
      <c r="E10" s="309"/>
      <c r="F10" s="309"/>
    </row>
    <row r="11" spans="1:8" ht="18.75" x14ac:dyDescent="0.25">
      <c r="A11" s="94"/>
      <c r="B11" s="94"/>
      <c r="C11" s="94"/>
      <c r="D11" s="94"/>
      <c r="E11" s="94"/>
      <c r="F11" s="94"/>
    </row>
    <row r="12" spans="1:8" ht="15.75" x14ac:dyDescent="0.25">
      <c r="A12" s="260" t="str">
        <f>'1. паспорт местоположение'!$A$12</f>
        <v>I_Che149</v>
      </c>
      <c r="B12" s="260"/>
      <c r="C12" s="260"/>
      <c r="D12" s="260"/>
      <c r="E12" s="260"/>
      <c r="F12" s="260"/>
    </row>
    <row r="13" spans="1:8" ht="15.75" x14ac:dyDescent="0.25">
      <c r="A13" s="309" t="s">
        <v>3</v>
      </c>
      <c r="B13" s="309"/>
      <c r="C13" s="309"/>
      <c r="D13" s="309"/>
      <c r="E13" s="309"/>
      <c r="F13" s="309"/>
    </row>
    <row r="14" spans="1:8" ht="18.75" x14ac:dyDescent="0.25">
      <c r="A14" s="8"/>
      <c r="B14" s="8"/>
      <c r="C14" s="8"/>
      <c r="D14" s="8"/>
      <c r="E14" s="8"/>
      <c r="F14" s="8"/>
    </row>
    <row r="15" spans="1:8" ht="56.25" customHeight="1" x14ac:dyDescent="0.25">
      <c r="A15" s="259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259"/>
      <c r="C15" s="259"/>
      <c r="D15" s="259"/>
      <c r="E15" s="259"/>
      <c r="F15" s="259"/>
      <c r="G15" s="259"/>
      <c r="H15" s="259"/>
    </row>
    <row r="16" spans="1:8" ht="15.75" x14ac:dyDescent="0.25">
      <c r="A16" s="309" t="s">
        <v>2</v>
      </c>
      <c r="B16" s="309"/>
      <c r="C16" s="309"/>
      <c r="D16" s="309"/>
      <c r="E16" s="309"/>
      <c r="F16" s="309"/>
    </row>
    <row r="17" spans="1:6" ht="18.75" x14ac:dyDescent="0.25">
      <c r="A17" s="95"/>
      <c r="B17" s="95"/>
      <c r="C17" s="95"/>
      <c r="D17" s="95"/>
      <c r="E17" s="95"/>
      <c r="F17" s="95"/>
    </row>
    <row r="18" spans="1:6" ht="18.75" x14ac:dyDescent="0.25">
      <c r="A18" s="310" t="s">
        <v>282</v>
      </c>
      <c r="B18" s="310"/>
      <c r="C18" s="310"/>
      <c r="D18" s="310"/>
      <c r="E18" s="310"/>
      <c r="F18" s="310"/>
    </row>
    <row r="19" spans="1:6" x14ac:dyDescent="0.25">
      <c r="A19" s="96"/>
      <c r="B19" s="96"/>
      <c r="C19" s="96"/>
      <c r="D19" s="96"/>
      <c r="E19" s="96"/>
      <c r="F19" s="96"/>
    </row>
    <row r="20" spans="1:6" ht="15.75" thickBot="1" x14ac:dyDescent="0.3">
      <c r="A20" s="96"/>
      <c r="B20" s="96"/>
      <c r="C20" s="96"/>
      <c r="D20" s="96"/>
      <c r="E20" s="96"/>
      <c r="F20" s="96"/>
    </row>
    <row r="21" spans="1:6" ht="15.75" x14ac:dyDescent="0.25">
      <c r="A21" s="96"/>
      <c r="B21" s="311" t="s">
        <v>283</v>
      </c>
      <c r="C21" s="312"/>
      <c r="D21" s="312"/>
      <c r="E21" s="313"/>
      <c r="F21" s="96"/>
    </row>
    <row r="22" spans="1:6" ht="15.75" x14ac:dyDescent="0.25">
      <c r="A22" s="96"/>
      <c r="B22" s="306" t="s">
        <v>284</v>
      </c>
      <c r="C22" s="307"/>
      <c r="D22" s="307" t="s">
        <v>285</v>
      </c>
      <c r="E22" s="308"/>
      <c r="F22" s="96"/>
    </row>
    <row r="23" spans="1:6" ht="63" x14ac:dyDescent="0.25">
      <c r="A23" s="96"/>
      <c r="B23" s="97" t="s">
        <v>286</v>
      </c>
      <c r="C23" s="98" t="s">
        <v>287</v>
      </c>
      <c r="D23" s="98" t="s">
        <v>288</v>
      </c>
      <c r="E23" s="99" t="s">
        <v>289</v>
      </c>
      <c r="F23" s="96"/>
    </row>
    <row r="24" spans="1:6" ht="15.75" x14ac:dyDescent="0.25">
      <c r="A24" s="96"/>
      <c r="B24" s="100">
        <v>28.648</v>
      </c>
      <c r="C24" s="102">
        <v>0.16</v>
      </c>
      <c r="D24" s="101">
        <v>10</v>
      </c>
      <c r="E24" s="101">
        <v>15</v>
      </c>
      <c r="F24" s="96"/>
    </row>
    <row r="25" spans="1:6" x14ac:dyDescent="0.25">
      <c r="A25" s="96"/>
      <c r="B25" s="96"/>
      <c r="C25" s="96"/>
      <c r="D25" s="96"/>
      <c r="E25" s="96"/>
      <c r="F25" s="96"/>
    </row>
    <row r="26" spans="1:6" x14ac:dyDescent="0.25">
      <c r="A26" s="96"/>
      <c r="B26" s="96"/>
      <c r="C26" s="96"/>
      <c r="D26" s="96"/>
      <c r="E26" s="96"/>
      <c r="F26" s="96"/>
    </row>
    <row r="27" spans="1:6" x14ac:dyDescent="0.25">
      <c r="A27" s="96"/>
      <c r="B27" s="96"/>
      <c r="C27" s="96"/>
      <c r="D27" s="96"/>
      <c r="E27" s="96"/>
      <c r="F27" s="96"/>
    </row>
    <row r="28" spans="1:6" x14ac:dyDescent="0.25">
      <c r="A28" s="96"/>
      <c r="B28" s="96"/>
      <c r="C28" s="96"/>
      <c r="D28" s="96"/>
      <c r="E28" s="96"/>
      <c r="F28" s="96"/>
    </row>
    <row r="29" spans="1:6" x14ac:dyDescent="0.25">
      <c r="A29" s="96"/>
      <c r="B29" s="96"/>
      <c r="C29" s="96"/>
      <c r="D29" s="96"/>
      <c r="E29" s="96"/>
      <c r="F29" s="96"/>
    </row>
    <row r="30" spans="1:6" x14ac:dyDescent="0.25">
      <c r="A30" s="96"/>
      <c r="B30" s="96"/>
      <c r="C30" s="96"/>
      <c r="D30" s="96"/>
      <c r="E30" s="96"/>
      <c r="F30" s="96"/>
    </row>
    <row r="31" spans="1:6" x14ac:dyDescent="0.25">
      <c r="A31" s="96"/>
      <c r="B31" s="96"/>
      <c r="C31" s="96"/>
      <c r="D31" s="96"/>
      <c r="E31" s="96"/>
      <c r="F31" s="96"/>
    </row>
  </sheetData>
  <mergeCells count="12">
    <mergeCell ref="A15:H15"/>
    <mergeCell ref="A13:F13"/>
    <mergeCell ref="A5:F5"/>
    <mergeCell ref="A7:F7"/>
    <mergeCell ref="A9:F9"/>
    <mergeCell ref="A10:F10"/>
    <mergeCell ref="A12:F12"/>
    <mergeCell ref="B22:C22"/>
    <mergeCell ref="D22:E22"/>
    <mergeCell ref="A16:F16"/>
    <mergeCell ref="A18:F18"/>
    <mergeCell ref="B21:E21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3"/>
  <sheetViews>
    <sheetView view="pageBreakPreview" topLeftCell="A13" zoomScale="85" zoomScaleNormal="100" zoomScaleSheetLayoutView="85" workbookViewId="0">
      <selection activeCell="E27" sqref="E27"/>
    </sheetView>
  </sheetViews>
  <sheetFormatPr defaultColWidth="0" defaultRowHeight="15.75" x14ac:dyDescent="0.25"/>
  <cols>
    <col min="1" max="1" width="9.140625" style="49" customWidth="1"/>
    <col min="2" max="2" width="37.7109375" style="49" customWidth="1"/>
    <col min="3" max="3" width="12.85546875" style="49" bestFit="1" customWidth="1"/>
    <col min="4" max="4" width="12.85546875" style="49" customWidth="1"/>
    <col min="5" max="5" width="13" style="49" customWidth="1"/>
    <col min="6" max="6" width="15.5703125" style="49" customWidth="1"/>
    <col min="7" max="8" width="18.28515625" style="49" customWidth="1"/>
    <col min="9" max="9" width="25.5703125" style="49" customWidth="1"/>
    <col min="10" max="10" width="32.28515625" style="49" customWidth="1"/>
    <col min="11" max="250" width="9.140625" style="49" customWidth="1"/>
    <col min="251" max="251" width="37.7109375" style="49" customWidth="1"/>
    <col min="252" max="252" width="9.140625" style="49" customWidth="1"/>
    <col min="253" max="253" width="12.85546875" style="49" customWidth="1"/>
    <col min="254" max="16384" width="0" style="49" hidden="1"/>
  </cols>
  <sheetData>
    <row r="1" spans="1:42" ht="18.75" x14ac:dyDescent="0.25">
      <c r="J1" s="33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53" t="str">
        <f>'1. паспорт местоположение'!$A$5</f>
        <v>Год раскрытия информации: 2019 год</v>
      </c>
      <c r="B5" s="253"/>
      <c r="C5" s="253"/>
      <c r="D5" s="253"/>
      <c r="E5" s="253"/>
      <c r="F5" s="253"/>
      <c r="G5" s="253"/>
      <c r="H5" s="253"/>
      <c r="I5" s="253"/>
      <c r="J5" s="253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</row>
    <row r="6" spans="1:42" ht="18.75" x14ac:dyDescent="0.3">
      <c r="I6" s="13"/>
    </row>
    <row r="7" spans="1:42" ht="18.75" x14ac:dyDescent="0.25">
      <c r="A7" s="257" t="s">
        <v>5</v>
      </c>
      <c r="B7" s="257"/>
      <c r="C7" s="257"/>
      <c r="D7" s="257"/>
      <c r="E7" s="257"/>
      <c r="F7" s="257"/>
      <c r="G7" s="257"/>
      <c r="H7" s="257"/>
      <c r="I7" s="257"/>
      <c r="J7" s="257"/>
    </row>
    <row r="8" spans="1:42" ht="18.75" x14ac:dyDescent="0.25">
      <c r="A8" s="257"/>
      <c r="B8" s="257"/>
      <c r="C8" s="257"/>
      <c r="D8" s="257"/>
      <c r="E8" s="257"/>
      <c r="F8" s="257"/>
      <c r="G8" s="257"/>
      <c r="H8" s="257"/>
      <c r="I8" s="257"/>
      <c r="J8" s="257"/>
    </row>
    <row r="9" spans="1:42" x14ac:dyDescent="0.25">
      <c r="A9" s="258" t="s">
        <v>281</v>
      </c>
      <c r="B9" s="258"/>
      <c r="C9" s="258"/>
      <c r="D9" s="258"/>
      <c r="E9" s="258"/>
      <c r="F9" s="258"/>
      <c r="G9" s="258"/>
      <c r="H9" s="258"/>
      <c r="I9" s="258"/>
      <c r="J9" s="258"/>
    </row>
    <row r="10" spans="1:42" x14ac:dyDescent="0.25">
      <c r="A10" s="254" t="s">
        <v>4</v>
      </c>
      <c r="B10" s="254"/>
      <c r="C10" s="254"/>
      <c r="D10" s="254"/>
      <c r="E10" s="254"/>
      <c r="F10" s="254"/>
      <c r="G10" s="254"/>
      <c r="H10" s="254"/>
      <c r="I10" s="254"/>
      <c r="J10" s="254"/>
    </row>
    <row r="11" spans="1:42" ht="18.75" x14ac:dyDescent="0.25">
      <c r="A11" s="257"/>
      <c r="B11" s="257"/>
      <c r="C11" s="257"/>
      <c r="D11" s="257"/>
      <c r="E11" s="257"/>
      <c r="F11" s="257"/>
      <c r="G11" s="257"/>
      <c r="H11" s="257"/>
      <c r="I11" s="257"/>
      <c r="J11" s="257"/>
    </row>
    <row r="12" spans="1:42" x14ac:dyDescent="0.25">
      <c r="A12" s="258" t="str">
        <f>'1. паспорт местоположение'!$A$12</f>
        <v>I_Che149</v>
      </c>
      <c r="B12" s="258"/>
      <c r="C12" s="258"/>
      <c r="D12" s="258"/>
      <c r="E12" s="258"/>
      <c r="F12" s="258"/>
      <c r="G12" s="258"/>
      <c r="H12" s="258"/>
      <c r="I12" s="258"/>
      <c r="J12" s="258"/>
    </row>
    <row r="13" spans="1:42" x14ac:dyDescent="0.25">
      <c r="A13" s="254" t="s">
        <v>3</v>
      </c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42" ht="18.75" x14ac:dyDescent="0.25">
      <c r="A14" s="261"/>
      <c r="B14" s="261"/>
      <c r="C14" s="261"/>
      <c r="D14" s="261"/>
      <c r="E14" s="261"/>
      <c r="F14" s="261"/>
      <c r="G14" s="261"/>
      <c r="H14" s="261"/>
      <c r="I14" s="261"/>
      <c r="J14" s="261"/>
    </row>
    <row r="15" spans="1:42" ht="93.75" customHeight="1" x14ac:dyDescent="0.25">
      <c r="A15" s="276" t="str">
        <f>'1. паспорт местоположение'!$A$15</f>
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</c>
      <c r="B15" s="276"/>
      <c r="C15" s="276"/>
      <c r="D15" s="276"/>
      <c r="E15" s="276"/>
      <c r="F15" s="276"/>
      <c r="G15" s="276"/>
      <c r="H15" s="276"/>
      <c r="I15" s="276"/>
      <c r="J15" s="276"/>
    </row>
    <row r="16" spans="1:42" x14ac:dyDescent="0.25">
      <c r="A16" s="254" t="s">
        <v>2</v>
      </c>
      <c r="B16" s="254"/>
      <c r="C16" s="254"/>
      <c r="D16" s="254"/>
      <c r="E16" s="254"/>
      <c r="F16" s="254"/>
      <c r="G16" s="254"/>
      <c r="H16" s="254"/>
      <c r="I16" s="254"/>
      <c r="J16" s="254"/>
    </row>
    <row r="17" spans="1:10" ht="15.75" customHeight="1" x14ac:dyDescent="0.25">
      <c r="J17" s="68"/>
    </row>
    <row r="18" spans="1:10" x14ac:dyDescent="0.25">
      <c r="I18" s="67"/>
    </row>
    <row r="19" spans="1:10" ht="15.75" customHeight="1" x14ac:dyDescent="0.25">
      <c r="A19" s="325" t="s">
        <v>257</v>
      </c>
      <c r="B19" s="325"/>
      <c r="C19" s="325"/>
      <c r="D19" s="325"/>
      <c r="E19" s="325"/>
      <c r="F19" s="325"/>
      <c r="G19" s="325"/>
      <c r="H19" s="325"/>
      <c r="I19" s="325"/>
      <c r="J19" s="325"/>
    </row>
    <row r="20" spans="1:10" x14ac:dyDescent="0.25">
      <c r="A20" s="53"/>
      <c r="B20" s="53"/>
      <c r="C20" s="66"/>
      <c r="D20" s="66"/>
      <c r="E20" s="66"/>
      <c r="F20" s="66"/>
      <c r="G20" s="66"/>
      <c r="H20" s="66"/>
      <c r="I20" s="66"/>
      <c r="J20" s="66"/>
    </row>
    <row r="21" spans="1:10" ht="28.5" customHeight="1" x14ac:dyDescent="0.25">
      <c r="A21" s="321" t="s">
        <v>141</v>
      </c>
      <c r="B21" s="321" t="s">
        <v>140</v>
      </c>
      <c r="C21" s="324" t="s">
        <v>202</v>
      </c>
      <c r="D21" s="324"/>
      <c r="E21" s="324"/>
      <c r="F21" s="324"/>
      <c r="G21" s="317" t="s">
        <v>139</v>
      </c>
      <c r="H21" s="318" t="s">
        <v>204</v>
      </c>
      <c r="I21" s="321" t="s">
        <v>138</v>
      </c>
      <c r="J21" s="315" t="s">
        <v>203</v>
      </c>
    </row>
    <row r="22" spans="1:10" ht="58.5" customHeight="1" x14ac:dyDescent="0.25">
      <c r="A22" s="321"/>
      <c r="B22" s="321"/>
      <c r="C22" s="316" t="s">
        <v>0</v>
      </c>
      <c r="D22" s="316"/>
      <c r="E22" s="322" t="s">
        <v>429</v>
      </c>
      <c r="F22" s="323"/>
      <c r="G22" s="317"/>
      <c r="H22" s="319"/>
      <c r="I22" s="321"/>
      <c r="J22" s="315"/>
    </row>
    <row r="23" spans="1:10" ht="38.25" customHeight="1" x14ac:dyDescent="0.25">
      <c r="A23" s="321"/>
      <c r="B23" s="321"/>
      <c r="C23" s="65" t="s">
        <v>137</v>
      </c>
      <c r="D23" s="65" t="s">
        <v>136</v>
      </c>
      <c r="E23" s="65" t="s">
        <v>137</v>
      </c>
      <c r="F23" s="65" t="s">
        <v>136</v>
      </c>
      <c r="G23" s="317"/>
      <c r="H23" s="320"/>
      <c r="I23" s="321"/>
      <c r="J23" s="315"/>
    </row>
    <row r="24" spans="1:10" x14ac:dyDescent="0.25">
      <c r="A24" s="58">
        <v>1</v>
      </c>
      <c r="B24" s="58">
        <v>2</v>
      </c>
      <c r="C24" s="65">
        <v>3</v>
      </c>
      <c r="D24" s="65">
        <v>4</v>
      </c>
      <c r="E24" s="65">
        <v>7</v>
      </c>
      <c r="F24" s="65">
        <v>8</v>
      </c>
      <c r="G24" s="65">
        <v>9</v>
      </c>
      <c r="H24" s="65">
        <v>10</v>
      </c>
      <c r="I24" s="65">
        <v>11</v>
      </c>
      <c r="J24" s="65">
        <v>12</v>
      </c>
    </row>
    <row r="25" spans="1:10" s="144" customFormat="1" ht="31.5" x14ac:dyDescent="0.25">
      <c r="A25" s="142">
        <v>1</v>
      </c>
      <c r="B25" s="143" t="s">
        <v>135</v>
      </c>
      <c r="C25" s="167"/>
      <c r="D25" s="167"/>
      <c r="E25" s="167"/>
      <c r="F25" s="167"/>
      <c r="G25" s="147"/>
      <c r="H25" s="147"/>
      <c r="I25" s="168"/>
      <c r="J25" s="69"/>
    </row>
    <row r="26" spans="1:10" s="144" customFormat="1" ht="21.75" customHeight="1" x14ac:dyDescent="0.25">
      <c r="A26" s="142" t="s">
        <v>134</v>
      </c>
      <c r="B26" s="145" t="s">
        <v>206</v>
      </c>
      <c r="C26" s="167">
        <v>43159</v>
      </c>
      <c r="D26" s="167">
        <v>43159</v>
      </c>
      <c r="E26" s="167">
        <v>43159</v>
      </c>
      <c r="F26" s="167">
        <v>43159</v>
      </c>
      <c r="G26" s="147">
        <v>1</v>
      </c>
      <c r="H26" s="147">
        <v>1</v>
      </c>
      <c r="I26" s="169" t="s">
        <v>300</v>
      </c>
      <c r="J26" s="169" t="s">
        <v>300</v>
      </c>
    </row>
    <row r="27" spans="1:10" s="146" customFormat="1" ht="39" customHeight="1" x14ac:dyDescent="0.25">
      <c r="A27" s="142" t="s">
        <v>133</v>
      </c>
      <c r="B27" s="145" t="s">
        <v>208</v>
      </c>
      <c r="C27" s="170">
        <v>43490</v>
      </c>
      <c r="D27" s="170">
        <v>43490</v>
      </c>
      <c r="E27" s="170"/>
      <c r="F27" s="170"/>
      <c r="G27" s="147"/>
      <c r="H27" s="147"/>
      <c r="I27" s="169" t="s">
        <v>300</v>
      </c>
      <c r="J27" s="169" t="s">
        <v>300</v>
      </c>
    </row>
    <row r="28" spans="1:10" s="146" customFormat="1" ht="56.25" customHeight="1" x14ac:dyDescent="0.25">
      <c r="A28" s="142" t="s">
        <v>207</v>
      </c>
      <c r="B28" s="145" t="s">
        <v>212</v>
      </c>
      <c r="C28" s="170">
        <v>43230</v>
      </c>
      <c r="D28" s="170">
        <v>43230</v>
      </c>
      <c r="E28" s="170">
        <v>43230</v>
      </c>
      <c r="F28" s="170">
        <v>43230</v>
      </c>
      <c r="G28" s="147">
        <v>1</v>
      </c>
      <c r="H28" s="147">
        <v>1</v>
      </c>
      <c r="I28" s="169" t="s">
        <v>300</v>
      </c>
      <c r="J28" s="169" t="s">
        <v>300</v>
      </c>
    </row>
    <row r="29" spans="1:10" s="146" customFormat="1" ht="36" customHeight="1" x14ac:dyDescent="0.25">
      <c r="A29" s="142" t="s">
        <v>132</v>
      </c>
      <c r="B29" s="145" t="s">
        <v>211</v>
      </c>
      <c r="C29" s="170">
        <v>43241</v>
      </c>
      <c r="D29" s="170">
        <v>43241</v>
      </c>
      <c r="E29" s="170">
        <v>43241</v>
      </c>
      <c r="F29" s="170">
        <v>43241</v>
      </c>
      <c r="G29" s="147">
        <v>1</v>
      </c>
      <c r="H29" s="147">
        <v>1</v>
      </c>
      <c r="I29" s="169" t="s">
        <v>300</v>
      </c>
      <c r="J29" s="169" t="s">
        <v>300</v>
      </c>
    </row>
    <row r="30" spans="1:10" s="146" customFormat="1" ht="42" customHeight="1" x14ac:dyDescent="0.25">
      <c r="A30" s="142" t="s">
        <v>131</v>
      </c>
      <c r="B30" s="145" t="s">
        <v>213</v>
      </c>
      <c r="C30" s="170">
        <v>43301</v>
      </c>
      <c r="D30" s="170">
        <v>43301</v>
      </c>
      <c r="E30" s="170">
        <v>43301</v>
      </c>
      <c r="F30" s="170">
        <v>43301</v>
      </c>
      <c r="G30" s="147">
        <v>1</v>
      </c>
      <c r="H30" s="147">
        <v>1</v>
      </c>
      <c r="I30" s="169" t="s">
        <v>300</v>
      </c>
      <c r="J30" s="169" t="s">
        <v>300</v>
      </c>
    </row>
    <row r="31" spans="1:10" s="146" customFormat="1" ht="37.5" customHeight="1" x14ac:dyDescent="0.25">
      <c r="A31" s="142" t="s">
        <v>130</v>
      </c>
      <c r="B31" s="148" t="s">
        <v>209</v>
      </c>
      <c r="C31" s="167">
        <v>43095</v>
      </c>
      <c r="D31" s="167">
        <v>43095</v>
      </c>
      <c r="E31" s="167">
        <v>43095</v>
      </c>
      <c r="F31" s="167">
        <v>43095</v>
      </c>
      <c r="G31" s="147">
        <v>1</v>
      </c>
      <c r="H31" s="147">
        <v>1</v>
      </c>
      <c r="I31" s="169" t="s">
        <v>300</v>
      </c>
      <c r="J31" s="169" t="s">
        <v>300</v>
      </c>
    </row>
    <row r="32" spans="1:10" s="146" customFormat="1" ht="42.75" customHeight="1" x14ac:dyDescent="0.25">
      <c r="A32" s="142" t="s">
        <v>128</v>
      </c>
      <c r="B32" s="148" t="s">
        <v>214</v>
      </c>
      <c r="C32" s="167">
        <v>43404</v>
      </c>
      <c r="D32" s="167">
        <v>43404</v>
      </c>
      <c r="E32" s="167">
        <v>43404</v>
      </c>
      <c r="F32" s="167">
        <v>43404</v>
      </c>
      <c r="G32" s="147">
        <v>1</v>
      </c>
      <c r="H32" s="147">
        <v>1</v>
      </c>
      <c r="I32" s="169" t="s">
        <v>300</v>
      </c>
      <c r="J32" s="169" t="s">
        <v>300</v>
      </c>
    </row>
    <row r="33" spans="1:10" s="146" customFormat="1" ht="50.25" customHeight="1" x14ac:dyDescent="0.25">
      <c r="A33" s="142" t="s">
        <v>225</v>
      </c>
      <c r="B33" s="148" t="s">
        <v>156</v>
      </c>
      <c r="C33" s="167">
        <v>43392</v>
      </c>
      <c r="D33" s="167">
        <v>43392</v>
      </c>
      <c r="E33" s="167">
        <v>43392</v>
      </c>
      <c r="F33" s="167">
        <v>43392</v>
      </c>
      <c r="G33" s="147">
        <v>1</v>
      </c>
      <c r="H33" s="147">
        <v>1</v>
      </c>
      <c r="I33" s="169" t="s">
        <v>300</v>
      </c>
      <c r="J33" s="169" t="s">
        <v>300</v>
      </c>
    </row>
    <row r="34" spans="1:10" s="146" customFormat="1" ht="47.25" customHeight="1" x14ac:dyDescent="0.25">
      <c r="A34" s="142" t="s">
        <v>226</v>
      </c>
      <c r="B34" s="148" t="s">
        <v>218</v>
      </c>
      <c r="C34" s="167" t="s">
        <v>278</v>
      </c>
      <c r="D34" s="167" t="s">
        <v>278</v>
      </c>
      <c r="E34" s="167" t="s">
        <v>278</v>
      </c>
      <c r="F34" s="167" t="s">
        <v>278</v>
      </c>
      <c r="G34" s="169"/>
      <c r="H34" s="169"/>
      <c r="I34" s="169" t="s">
        <v>300</v>
      </c>
      <c r="J34" s="169" t="s">
        <v>300</v>
      </c>
    </row>
    <row r="35" spans="1:10" s="146" customFormat="1" ht="49.5" customHeight="1" x14ac:dyDescent="0.25">
      <c r="A35" s="142" t="s">
        <v>227</v>
      </c>
      <c r="B35" s="148" t="s">
        <v>129</v>
      </c>
      <c r="C35" s="170">
        <v>43404</v>
      </c>
      <c r="D35" s="170">
        <v>43404</v>
      </c>
      <c r="E35" s="170">
        <v>43404</v>
      </c>
      <c r="F35" s="170">
        <v>43404</v>
      </c>
      <c r="G35" s="171">
        <v>1</v>
      </c>
      <c r="H35" s="147">
        <v>1</v>
      </c>
      <c r="I35" s="169" t="s">
        <v>300</v>
      </c>
      <c r="J35" s="169" t="s">
        <v>300</v>
      </c>
    </row>
    <row r="36" spans="1:10" s="144" customFormat="1" ht="37.5" customHeight="1" x14ac:dyDescent="0.25">
      <c r="A36" s="142" t="s">
        <v>228</v>
      </c>
      <c r="B36" s="148" t="s">
        <v>210</v>
      </c>
      <c r="C36" s="170">
        <v>43434</v>
      </c>
      <c r="D36" s="170">
        <v>43434</v>
      </c>
      <c r="E36" s="170">
        <v>43424</v>
      </c>
      <c r="F36" s="170">
        <v>43424</v>
      </c>
      <c r="G36" s="171">
        <v>1</v>
      </c>
      <c r="H36" s="147">
        <v>1</v>
      </c>
      <c r="I36" s="169" t="s">
        <v>300</v>
      </c>
      <c r="J36" s="169" t="s">
        <v>300</v>
      </c>
    </row>
    <row r="37" spans="1:10" s="144" customFormat="1" ht="21.75" customHeight="1" x14ac:dyDescent="0.25">
      <c r="A37" s="142" t="s">
        <v>229</v>
      </c>
      <c r="B37" s="148" t="s">
        <v>127</v>
      </c>
      <c r="C37" s="167">
        <v>43095</v>
      </c>
      <c r="D37" s="167">
        <v>43392</v>
      </c>
      <c r="E37" s="167">
        <v>43095</v>
      </c>
      <c r="F37" s="167">
        <v>43392</v>
      </c>
      <c r="G37" s="171">
        <v>1</v>
      </c>
      <c r="H37" s="147">
        <v>1</v>
      </c>
      <c r="I37" s="169" t="s">
        <v>300</v>
      </c>
      <c r="J37" s="169" t="s">
        <v>300</v>
      </c>
    </row>
    <row r="38" spans="1:10" s="144" customFormat="1" x14ac:dyDescent="0.25">
      <c r="A38" s="142" t="s">
        <v>230</v>
      </c>
      <c r="B38" s="143" t="s">
        <v>126</v>
      </c>
      <c r="C38" s="172"/>
      <c r="D38" s="172"/>
      <c r="E38" s="172"/>
      <c r="F38" s="172"/>
      <c r="G38" s="171"/>
      <c r="H38" s="173"/>
      <c r="I38" s="168"/>
      <c r="J38" s="168"/>
    </row>
    <row r="39" spans="1:10" s="144" customFormat="1" ht="74.25" customHeight="1" x14ac:dyDescent="0.25">
      <c r="A39" s="142">
        <v>2</v>
      </c>
      <c r="B39" s="148" t="s">
        <v>215</v>
      </c>
      <c r="C39" s="167">
        <v>43175</v>
      </c>
      <c r="D39" s="167">
        <v>43175</v>
      </c>
      <c r="E39" s="167">
        <v>43175</v>
      </c>
      <c r="F39" s="167">
        <v>43175</v>
      </c>
      <c r="G39" s="171">
        <v>1</v>
      </c>
      <c r="H39" s="173">
        <v>1</v>
      </c>
      <c r="I39" s="169" t="s">
        <v>300</v>
      </c>
      <c r="J39" s="169" t="s">
        <v>300</v>
      </c>
    </row>
    <row r="40" spans="1:10" s="144" customFormat="1" ht="33.75" customHeight="1" x14ac:dyDescent="0.25">
      <c r="A40" s="142" t="s">
        <v>125</v>
      </c>
      <c r="B40" s="148" t="s">
        <v>217</v>
      </c>
      <c r="C40" s="170">
        <v>43186</v>
      </c>
      <c r="D40" s="167">
        <v>43328</v>
      </c>
      <c r="E40" s="170">
        <v>43186</v>
      </c>
      <c r="F40" s="167">
        <v>43328</v>
      </c>
      <c r="G40" s="171">
        <v>1</v>
      </c>
      <c r="H40" s="173">
        <v>1</v>
      </c>
      <c r="I40" s="169" t="s">
        <v>300</v>
      </c>
      <c r="J40" s="169" t="s">
        <v>300</v>
      </c>
    </row>
    <row r="41" spans="1:10" s="144" customFormat="1" ht="63" customHeight="1" x14ac:dyDescent="0.25">
      <c r="A41" s="142" t="s">
        <v>124</v>
      </c>
      <c r="B41" s="143" t="s">
        <v>276</v>
      </c>
      <c r="C41" s="172"/>
      <c r="D41" s="172"/>
      <c r="E41" s="172"/>
      <c r="F41" s="172"/>
      <c r="G41" s="171"/>
      <c r="H41" s="173"/>
      <c r="I41" s="168"/>
      <c r="J41" s="168"/>
    </row>
    <row r="42" spans="1:10" s="144" customFormat="1" ht="36.75" customHeight="1" x14ac:dyDescent="0.25">
      <c r="A42" s="142">
        <v>3</v>
      </c>
      <c r="B42" s="148" t="s">
        <v>216</v>
      </c>
      <c r="C42" s="167">
        <v>43178</v>
      </c>
      <c r="D42" s="167">
        <v>43319</v>
      </c>
      <c r="E42" s="167">
        <v>43178</v>
      </c>
      <c r="F42" s="167">
        <v>43319</v>
      </c>
      <c r="G42" s="171">
        <v>1</v>
      </c>
      <c r="H42" s="173">
        <v>1</v>
      </c>
      <c r="I42" s="169" t="s">
        <v>300</v>
      </c>
      <c r="J42" s="169" t="s">
        <v>300</v>
      </c>
    </row>
    <row r="43" spans="1:10" s="144" customFormat="1" ht="34.5" customHeight="1" x14ac:dyDescent="0.25">
      <c r="A43" s="142" t="s">
        <v>123</v>
      </c>
      <c r="B43" s="148" t="s">
        <v>121</v>
      </c>
      <c r="C43" s="167">
        <v>43201</v>
      </c>
      <c r="D43" s="167">
        <v>43360</v>
      </c>
      <c r="E43" s="167">
        <v>43201</v>
      </c>
      <c r="F43" s="167">
        <v>43360</v>
      </c>
      <c r="G43" s="171">
        <v>1</v>
      </c>
      <c r="H43" s="173">
        <v>1</v>
      </c>
      <c r="I43" s="169" t="s">
        <v>300</v>
      </c>
      <c r="J43" s="169" t="s">
        <v>300</v>
      </c>
    </row>
    <row r="44" spans="1:10" s="144" customFormat="1" ht="24.75" customHeight="1" x14ac:dyDescent="0.25">
      <c r="A44" s="142" t="s">
        <v>122</v>
      </c>
      <c r="B44" s="148" t="s">
        <v>119</v>
      </c>
      <c r="C44" s="167">
        <v>43201</v>
      </c>
      <c r="D44" s="167">
        <v>43404</v>
      </c>
      <c r="E44" s="167">
        <v>43235</v>
      </c>
      <c r="F44" s="167">
        <v>43404</v>
      </c>
      <c r="G44" s="171">
        <v>1</v>
      </c>
      <c r="H44" s="173">
        <v>1</v>
      </c>
      <c r="I44" s="169" t="s">
        <v>300</v>
      </c>
      <c r="J44" s="169" t="s">
        <v>300</v>
      </c>
    </row>
    <row r="45" spans="1:10" s="144" customFormat="1" ht="90.75" customHeight="1" x14ac:dyDescent="0.25">
      <c r="A45" s="142" t="s">
        <v>120</v>
      </c>
      <c r="B45" s="148" t="s">
        <v>221</v>
      </c>
      <c r="C45" s="167">
        <v>43444</v>
      </c>
      <c r="D45" s="167">
        <v>43444</v>
      </c>
      <c r="E45" s="167">
        <v>43434</v>
      </c>
      <c r="F45" s="167">
        <v>43434</v>
      </c>
      <c r="G45" s="171">
        <v>1</v>
      </c>
      <c r="H45" s="173">
        <v>1</v>
      </c>
      <c r="I45" s="169" t="s">
        <v>300</v>
      </c>
      <c r="J45" s="169" t="s">
        <v>300</v>
      </c>
    </row>
    <row r="46" spans="1:10" s="144" customFormat="1" ht="167.25" customHeight="1" x14ac:dyDescent="0.25">
      <c r="A46" s="142" t="s">
        <v>118</v>
      </c>
      <c r="B46" s="148" t="s">
        <v>219</v>
      </c>
      <c r="C46" s="167" t="s">
        <v>278</v>
      </c>
      <c r="D46" s="167" t="s">
        <v>278</v>
      </c>
      <c r="E46" s="167" t="s">
        <v>278</v>
      </c>
      <c r="F46" s="167" t="s">
        <v>278</v>
      </c>
      <c r="G46" s="171"/>
      <c r="H46" s="169"/>
      <c r="I46" s="169" t="s">
        <v>300</v>
      </c>
      <c r="J46" s="169" t="s">
        <v>300</v>
      </c>
    </row>
    <row r="47" spans="1:10" s="144" customFormat="1" ht="30.75" customHeight="1" x14ac:dyDescent="0.25">
      <c r="A47" s="142" t="s">
        <v>116</v>
      </c>
      <c r="B47" s="148" t="s">
        <v>117</v>
      </c>
      <c r="C47" s="167">
        <v>43405</v>
      </c>
      <c r="D47" s="167">
        <v>43451</v>
      </c>
      <c r="E47" s="167">
        <v>43435</v>
      </c>
      <c r="F47" s="167">
        <v>43449</v>
      </c>
      <c r="G47" s="171">
        <v>1</v>
      </c>
      <c r="H47" s="173">
        <v>1</v>
      </c>
      <c r="I47" s="169" t="s">
        <v>300</v>
      </c>
      <c r="J47" s="169" t="s">
        <v>300</v>
      </c>
    </row>
    <row r="48" spans="1:10" s="144" customFormat="1" ht="37.5" customHeight="1" x14ac:dyDescent="0.25">
      <c r="A48" s="142" t="s">
        <v>231</v>
      </c>
      <c r="B48" s="143" t="s">
        <v>115</v>
      </c>
      <c r="C48" s="167"/>
      <c r="D48" s="167"/>
      <c r="E48" s="167"/>
      <c r="F48" s="167"/>
      <c r="G48" s="171"/>
      <c r="H48" s="173"/>
      <c r="I48" s="168"/>
      <c r="J48" s="168"/>
    </row>
    <row r="49" spans="1:10" s="144" customFormat="1" ht="35.25" customHeight="1" x14ac:dyDescent="0.25">
      <c r="A49" s="142">
        <v>4</v>
      </c>
      <c r="B49" s="148" t="s">
        <v>113</v>
      </c>
      <c r="C49" s="167">
        <v>43452</v>
      </c>
      <c r="D49" s="167">
        <v>43457</v>
      </c>
      <c r="E49" s="167">
        <v>43454</v>
      </c>
      <c r="F49" s="167">
        <v>43451</v>
      </c>
      <c r="G49" s="171">
        <v>1</v>
      </c>
      <c r="H49" s="173">
        <v>1</v>
      </c>
      <c r="I49" s="169" t="s">
        <v>300</v>
      </c>
      <c r="J49" s="169" t="s">
        <v>300</v>
      </c>
    </row>
    <row r="50" spans="1:10" s="144" customFormat="1" ht="86.25" customHeight="1" x14ac:dyDescent="0.25">
      <c r="A50" s="142" t="s">
        <v>114</v>
      </c>
      <c r="B50" s="148" t="s">
        <v>220</v>
      </c>
      <c r="C50" s="167">
        <v>43462</v>
      </c>
      <c r="D50" s="167">
        <v>43462</v>
      </c>
      <c r="E50" s="167">
        <v>43463</v>
      </c>
      <c r="F50" s="167">
        <v>43463</v>
      </c>
      <c r="G50" s="171">
        <v>1</v>
      </c>
      <c r="H50" s="173">
        <v>1</v>
      </c>
      <c r="I50" s="169" t="s">
        <v>300</v>
      </c>
      <c r="J50" s="169" t="s">
        <v>300</v>
      </c>
    </row>
    <row r="51" spans="1:10" s="144" customFormat="1" ht="77.25" customHeight="1" x14ac:dyDescent="0.25">
      <c r="A51" s="142" t="s">
        <v>112</v>
      </c>
      <c r="B51" s="148" t="s">
        <v>222</v>
      </c>
      <c r="C51" s="167">
        <v>43458</v>
      </c>
      <c r="D51" s="167">
        <v>43458</v>
      </c>
      <c r="E51" s="167">
        <v>43460</v>
      </c>
      <c r="F51" s="167">
        <v>43460</v>
      </c>
      <c r="G51" s="171">
        <v>1</v>
      </c>
      <c r="H51" s="173">
        <v>1</v>
      </c>
      <c r="I51" s="169" t="s">
        <v>300</v>
      </c>
      <c r="J51" s="169" t="s">
        <v>300</v>
      </c>
    </row>
    <row r="52" spans="1:10" s="144" customFormat="1" ht="71.25" customHeight="1" x14ac:dyDescent="0.25">
      <c r="A52" s="142" t="s">
        <v>110</v>
      </c>
      <c r="B52" s="148" t="s">
        <v>111</v>
      </c>
      <c r="C52" s="167">
        <v>43522</v>
      </c>
      <c r="D52" s="167">
        <v>43522</v>
      </c>
      <c r="E52" s="167"/>
      <c r="F52" s="167"/>
      <c r="G52" s="171"/>
      <c r="H52" s="173"/>
      <c r="I52" s="169" t="s">
        <v>300</v>
      </c>
      <c r="J52" s="169" t="s">
        <v>300</v>
      </c>
    </row>
    <row r="53" spans="1:10" s="144" customFormat="1" ht="48" customHeight="1" x14ac:dyDescent="0.25">
      <c r="A53" s="142" t="s">
        <v>108</v>
      </c>
      <c r="B53" s="144" t="s">
        <v>223</v>
      </c>
      <c r="C53" s="167">
        <v>43462</v>
      </c>
      <c r="D53" s="167">
        <v>43462</v>
      </c>
      <c r="E53" s="167">
        <v>43463</v>
      </c>
      <c r="F53" s="167">
        <v>43463</v>
      </c>
      <c r="G53" s="171">
        <v>1</v>
      </c>
      <c r="H53" s="173">
        <v>1</v>
      </c>
      <c r="I53" s="169" t="s">
        <v>300</v>
      </c>
      <c r="J53" s="169" t="s">
        <v>300</v>
      </c>
    </row>
    <row r="54" spans="1:10" s="144" customFormat="1" ht="46.5" customHeight="1" x14ac:dyDescent="0.25">
      <c r="A54" s="142" t="s">
        <v>224</v>
      </c>
      <c r="B54" s="148" t="s">
        <v>109</v>
      </c>
      <c r="C54" s="167">
        <v>43462</v>
      </c>
      <c r="D54" s="167">
        <v>43462</v>
      </c>
      <c r="E54" s="167">
        <v>43463</v>
      </c>
      <c r="F54" s="167">
        <v>43463</v>
      </c>
      <c r="G54" s="171">
        <v>1</v>
      </c>
      <c r="H54" s="173">
        <v>1</v>
      </c>
      <c r="I54" s="169" t="s">
        <v>300</v>
      </c>
      <c r="J54" s="169" t="s">
        <v>300</v>
      </c>
    </row>
    <row r="55" spans="1:10" s="144" customFormat="1" x14ac:dyDescent="0.25"/>
    <row r="56" spans="1:10" s="144" customFormat="1" x14ac:dyDescent="0.25"/>
    <row r="57" spans="1:10" s="144" customFormat="1" x14ac:dyDescent="0.25"/>
    <row r="58" spans="1:10" s="144" customFormat="1" x14ac:dyDescent="0.25"/>
    <row r="59" spans="1:10" s="144" customFormat="1" x14ac:dyDescent="0.25"/>
    <row r="60" spans="1:10" s="144" customFormat="1" x14ac:dyDescent="0.25"/>
    <row r="61" spans="1:10" s="144" customFormat="1" x14ac:dyDescent="0.25"/>
    <row r="62" spans="1:10" s="144" customFormat="1" x14ac:dyDescent="0.25"/>
    <row r="63" spans="1:10" s="144" customFormat="1" x14ac:dyDescent="0.25"/>
    <row r="64" spans="1:10" s="144" customFormat="1" x14ac:dyDescent="0.25"/>
    <row r="65" s="144" customFormat="1" x14ac:dyDescent="0.25"/>
    <row r="66" s="144" customFormat="1" x14ac:dyDescent="0.25"/>
    <row r="67" s="144" customFormat="1" x14ac:dyDescent="0.25"/>
    <row r="68" s="144" customFormat="1" x14ac:dyDescent="0.25"/>
    <row r="69" s="144" customFormat="1" x14ac:dyDescent="0.25"/>
    <row r="70" s="144" customFormat="1" x14ac:dyDescent="0.25"/>
    <row r="71" s="144" customFormat="1" x14ac:dyDescent="0.25"/>
    <row r="72" s="144" customFormat="1" x14ac:dyDescent="0.25"/>
    <row r="73" s="144" customFormat="1" x14ac:dyDescent="0.25"/>
    <row r="74" s="144" customFormat="1" x14ac:dyDescent="0.25"/>
    <row r="75" s="144" customFormat="1" x14ac:dyDescent="0.25"/>
    <row r="76" s="144" customFormat="1" x14ac:dyDescent="0.25"/>
    <row r="77" s="144" customFormat="1" x14ac:dyDescent="0.25"/>
    <row r="78" s="144" customFormat="1" x14ac:dyDescent="0.25"/>
    <row r="79" s="144" customFormat="1" x14ac:dyDescent="0.25"/>
    <row r="80" s="144" customFormat="1" x14ac:dyDescent="0.25"/>
    <row r="81" s="144" customFormat="1" x14ac:dyDescent="0.25"/>
    <row r="82" s="144" customFormat="1" x14ac:dyDescent="0.25"/>
    <row r="83" s="144" customFormat="1" x14ac:dyDescent="0.25"/>
    <row r="84" s="144" customFormat="1" x14ac:dyDescent="0.25"/>
    <row r="85" s="144" customFormat="1" x14ac:dyDescent="0.25"/>
    <row r="86" s="144" customFormat="1" x14ac:dyDescent="0.25"/>
    <row r="87" s="144" customFormat="1" x14ac:dyDescent="0.25"/>
    <row r="88" s="144" customFormat="1" x14ac:dyDescent="0.25"/>
    <row r="89" s="144" customFormat="1" x14ac:dyDescent="0.25"/>
    <row r="90" s="144" customFormat="1" x14ac:dyDescent="0.25"/>
    <row r="91" s="144" customFormat="1" x14ac:dyDescent="0.25"/>
    <row r="92" s="144" customFormat="1" x14ac:dyDescent="0.25"/>
    <row r="93" s="144" customFormat="1" x14ac:dyDescent="0.25"/>
    <row r="94" s="144" customFormat="1" x14ac:dyDescent="0.25"/>
    <row r="95" s="144" customFormat="1" x14ac:dyDescent="0.25"/>
    <row r="96" s="144" customFormat="1" x14ac:dyDescent="0.25"/>
    <row r="97" s="144" customFormat="1" x14ac:dyDescent="0.25"/>
    <row r="98" s="144" customFormat="1" x14ac:dyDescent="0.25"/>
    <row r="99" s="144" customFormat="1" x14ac:dyDescent="0.25"/>
    <row r="100" s="144" customFormat="1" x14ac:dyDescent="0.25"/>
    <row r="101" s="144" customFormat="1" x14ac:dyDescent="0.25"/>
    <row r="102" s="144" customFormat="1" x14ac:dyDescent="0.25"/>
    <row r="103" s="144" customFormat="1" x14ac:dyDescent="0.25"/>
    <row r="104" s="144" customFormat="1" x14ac:dyDescent="0.25"/>
    <row r="105" s="144" customFormat="1" x14ac:dyDescent="0.25"/>
    <row r="106" s="144" customFormat="1" x14ac:dyDescent="0.25"/>
    <row r="107" s="144" customFormat="1" x14ac:dyDescent="0.25"/>
    <row r="108" s="144" customFormat="1" x14ac:dyDescent="0.25"/>
    <row r="109" s="144" customFormat="1" x14ac:dyDescent="0.25"/>
    <row r="110" s="144" customFormat="1" x14ac:dyDescent="0.25"/>
    <row r="111" s="144" customFormat="1" x14ac:dyDescent="0.25"/>
    <row r="112" s="144" customFormat="1" x14ac:dyDescent="0.25"/>
    <row r="113" s="144" customFormat="1" x14ac:dyDescent="0.25"/>
    <row r="114" s="144" customFormat="1" x14ac:dyDescent="0.25"/>
    <row r="115" s="144" customFormat="1" x14ac:dyDescent="0.25"/>
    <row r="116" s="144" customFormat="1" x14ac:dyDescent="0.25"/>
    <row r="117" s="144" customFormat="1" x14ac:dyDescent="0.25"/>
    <row r="118" s="144" customFormat="1" x14ac:dyDescent="0.25"/>
    <row r="119" s="144" customFormat="1" x14ac:dyDescent="0.25"/>
    <row r="120" s="144" customFormat="1" x14ac:dyDescent="0.25"/>
    <row r="121" s="144" customFormat="1" x14ac:dyDescent="0.25"/>
    <row r="122" s="144" customFormat="1" x14ac:dyDescent="0.25"/>
    <row r="123" s="144" customFormat="1" x14ac:dyDescent="0.25"/>
    <row r="124" s="144" customFormat="1" x14ac:dyDescent="0.25"/>
    <row r="125" s="144" customFormat="1" x14ac:dyDescent="0.25"/>
    <row r="126" s="144" customFormat="1" x14ac:dyDescent="0.25"/>
    <row r="127" s="144" customFormat="1" x14ac:dyDescent="0.25"/>
    <row r="128" s="144" customFormat="1" x14ac:dyDescent="0.25"/>
    <row r="129" s="144" customFormat="1" x14ac:dyDescent="0.25"/>
    <row r="130" s="144" customFormat="1" x14ac:dyDescent="0.25"/>
    <row r="131" s="144" customFormat="1" x14ac:dyDescent="0.25"/>
    <row r="132" s="144" customFormat="1" x14ac:dyDescent="0.25"/>
    <row r="133" s="144" customFormat="1" x14ac:dyDescent="0.25"/>
    <row r="134" s="144" customFormat="1" x14ac:dyDescent="0.25"/>
    <row r="135" s="144" customFormat="1" x14ac:dyDescent="0.25"/>
    <row r="136" s="144" customFormat="1" x14ac:dyDescent="0.25"/>
    <row r="137" s="144" customFormat="1" x14ac:dyDescent="0.25"/>
    <row r="138" s="144" customFormat="1" x14ac:dyDescent="0.25"/>
    <row r="139" s="144" customFormat="1" x14ac:dyDescent="0.25"/>
    <row r="140" s="144" customFormat="1" x14ac:dyDescent="0.25"/>
    <row r="141" s="144" customFormat="1" x14ac:dyDescent="0.25"/>
    <row r="142" s="144" customFormat="1" x14ac:dyDescent="0.25"/>
    <row r="143" s="144" customFormat="1" x14ac:dyDescent="0.25"/>
    <row r="144" s="144" customFormat="1" x14ac:dyDescent="0.25"/>
    <row r="145" s="144" customFormat="1" x14ac:dyDescent="0.25"/>
    <row r="146" s="144" customFormat="1" x14ac:dyDescent="0.25"/>
    <row r="147" s="144" customFormat="1" x14ac:dyDescent="0.25"/>
    <row r="148" s="144" customFormat="1" x14ac:dyDescent="0.25"/>
    <row r="149" s="144" customFormat="1" x14ac:dyDescent="0.25"/>
    <row r="150" s="144" customFormat="1" x14ac:dyDescent="0.25"/>
    <row r="151" s="144" customFormat="1" x14ac:dyDescent="0.25"/>
    <row r="152" s="144" customFormat="1" x14ac:dyDescent="0.25"/>
    <row r="153" s="144" customFormat="1" x14ac:dyDescent="0.25"/>
    <row r="154" s="144" customFormat="1" x14ac:dyDescent="0.25"/>
    <row r="155" s="144" customFormat="1" x14ac:dyDescent="0.25"/>
    <row r="156" s="144" customFormat="1" x14ac:dyDescent="0.25"/>
    <row r="157" s="144" customFormat="1" x14ac:dyDescent="0.25"/>
    <row r="158" s="144" customFormat="1" x14ac:dyDescent="0.25"/>
    <row r="159" s="144" customFormat="1" x14ac:dyDescent="0.25"/>
    <row r="160" s="144" customFormat="1" x14ac:dyDescent="0.25"/>
    <row r="161" s="144" customFormat="1" x14ac:dyDescent="0.25"/>
    <row r="162" s="144" customFormat="1" x14ac:dyDescent="0.25"/>
    <row r="163" s="144" customFormat="1" x14ac:dyDescent="0.25"/>
    <row r="164" s="144" customFormat="1" x14ac:dyDescent="0.25"/>
    <row r="165" s="144" customFormat="1" x14ac:dyDescent="0.25"/>
    <row r="166" s="144" customFormat="1" x14ac:dyDescent="0.25"/>
    <row r="167" s="144" customFormat="1" x14ac:dyDescent="0.25"/>
    <row r="168" s="144" customFormat="1" x14ac:dyDescent="0.25"/>
    <row r="169" s="144" customFormat="1" x14ac:dyDescent="0.25"/>
    <row r="170" s="144" customFormat="1" x14ac:dyDescent="0.25"/>
    <row r="171" s="144" customFormat="1" x14ac:dyDescent="0.25"/>
    <row r="172" s="144" customFormat="1" x14ac:dyDescent="0.25"/>
    <row r="173" s="144" customFormat="1" x14ac:dyDescent="0.25"/>
    <row r="174" s="144" customFormat="1" x14ac:dyDescent="0.25"/>
    <row r="175" s="144" customFormat="1" x14ac:dyDescent="0.25"/>
    <row r="176" s="144" customFormat="1" x14ac:dyDescent="0.25"/>
    <row r="177" s="144" customFormat="1" x14ac:dyDescent="0.25"/>
    <row r="178" s="144" customFormat="1" x14ac:dyDescent="0.25"/>
    <row r="179" s="144" customFormat="1" x14ac:dyDescent="0.25"/>
    <row r="180" s="144" customFormat="1" x14ac:dyDescent="0.25"/>
    <row r="181" s="144" customFormat="1" x14ac:dyDescent="0.25"/>
    <row r="182" s="144" customFormat="1" x14ac:dyDescent="0.25"/>
    <row r="183" s="144" customFormat="1" x14ac:dyDescent="0.25"/>
    <row r="184" s="144" customFormat="1" x14ac:dyDescent="0.25"/>
    <row r="185" s="144" customFormat="1" x14ac:dyDescent="0.25"/>
    <row r="186" s="144" customFormat="1" x14ac:dyDescent="0.25"/>
    <row r="187" s="144" customFormat="1" x14ac:dyDescent="0.25"/>
    <row r="188" s="144" customFormat="1" x14ac:dyDescent="0.25"/>
    <row r="189" s="144" customFormat="1" x14ac:dyDescent="0.25"/>
    <row r="190" s="144" customFormat="1" x14ac:dyDescent="0.25"/>
    <row r="191" s="144" customFormat="1" x14ac:dyDescent="0.25"/>
    <row r="192" s="144" customFormat="1" x14ac:dyDescent="0.25"/>
    <row r="193" s="144" customFormat="1" x14ac:dyDescent="0.25"/>
  </sheetData>
  <mergeCells count="21">
    <mergeCell ref="A5:J5"/>
    <mergeCell ref="A7:J7"/>
    <mergeCell ref="A9:J9"/>
    <mergeCell ref="A10:J10"/>
    <mergeCell ref="A8:J8"/>
    <mergeCell ref="A11:J11"/>
    <mergeCell ref="A12:J12"/>
    <mergeCell ref="J21:J23"/>
    <mergeCell ref="C22:D22"/>
    <mergeCell ref="G21:G23"/>
    <mergeCell ref="H21:H23"/>
    <mergeCell ref="B21:B23"/>
    <mergeCell ref="I21:I23"/>
    <mergeCell ref="A16:J16"/>
    <mergeCell ref="A13:J13"/>
    <mergeCell ref="E22:F22"/>
    <mergeCell ref="C21:F21"/>
    <mergeCell ref="A19:J19"/>
    <mergeCell ref="A21:A23"/>
    <mergeCell ref="A15:J15"/>
    <mergeCell ref="A14:J14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2019-11-10T09:11:45Z</dcterms:modified>
</cp:coreProperties>
</file>