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440" yWindow="45" windowWidth="15360" windowHeight="13710" tabRatio="759" firstSheet="4"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B26" i="22" l="1"/>
  <c r="B23" i="22"/>
  <c r="B22" i="22"/>
  <c r="B21" i="22"/>
  <c r="F59" i="23" l="1"/>
  <c r="F58" i="23"/>
  <c r="F51" i="23"/>
  <c r="F43" i="23"/>
  <c r="A5" i="22" l="1"/>
  <c r="A4" i="23" s="1"/>
  <c r="A12" i="22"/>
  <c r="A12" i="24"/>
  <c r="A11" i="23"/>
  <c r="A12" i="16"/>
  <c r="A12" i="28"/>
  <c r="A12" i="27"/>
  <c r="A11" i="26"/>
  <c r="A12" i="6"/>
  <c r="E12" i="14"/>
  <c r="A13" i="25"/>
  <c r="A11" i="12"/>
  <c r="A5" i="24"/>
  <c r="A5" i="16"/>
  <c r="A5" i="28"/>
  <c r="A5" i="27"/>
  <c r="A4" i="26"/>
  <c r="A5" i="6"/>
  <c r="A5" i="14"/>
  <c r="A6" i="25"/>
  <c r="A4" i="12"/>
  <c r="F25" i="24"/>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F64" i="23" l="1"/>
  <c r="F62" i="23"/>
  <c r="F60" i="23"/>
  <c r="F56" i="23"/>
  <c r="F52" i="23"/>
  <c r="F41" i="23"/>
  <c r="F39" i="23"/>
  <c r="F37" i="23"/>
  <c r="F57" i="23"/>
  <c r="F53" i="23"/>
  <c r="F49" i="23"/>
  <c r="F47" i="23"/>
  <c r="F45" i="23"/>
  <c r="E45" i="23" s="1"/>
  <c r="F63" i="23"/>
  <c r="F61" i="23"/>
  <c r="F54" i="23"/>
  <c r="F42" i="23"/>
  <c r="F40" i="23"/>
  <c r="F38" i="23"/>
  <c r="F36" i="23"/>
  <c r="F55" i="23"/>
  <c r="E55" i="23" s="1"/>
  <c r="F50" i="23"/>
  <c r="E50" i="23" s="1"/>
  <c r="F48" i="23"/>
  <c r="E48" i="23" s="1"/>
  <c r="F46" i="23"/>
  <c r="F44" i="23"/>
  <c r="D26" i="23"/>
  <c r="E44" i="23" l="1"/>
  <c r="E47" i="23"/>
  <c r="C48" i="7"/>
  <c r="B53" i="22"/>
  <c r="B52" i="22" s="1"/>
  <c r="C49" i="7"/>
  <c r="B55" i="22"/>
  <c r="B54" i="22" s="1"/>
  <c r="D25" i="23"/>
  <c r="E61" i="23"/>
  <c r="E46" i="23"/>
  <c r="E49" i="23"/>
  <c r="E40" i="23"/>
  <c r="E53" i="23"/>
  <c r="D32" i="23"/>
  <c r="E37" i="23"/>
  <c r="E60" i="23"/>
  <c r="D33" i="23"/>
  <c r="E57" i="23"/>
  <c r="D34" i="23"/>
  <c r="E41" i="23"/>
  <c r="E64" i="23"/>
  <c r="D31" i="23"/>
  <c r="C28" i="23"/>
  <c r="F26" i="23"/>
  <c r="E26" i="23" s="1"/>
  <c r="H33" i="23"/>
  <c r="F33" i="23" s="1"/>
  <c r="E33" i="23" s="1"/>
  <c r="C25" i="23"/>
  <c r="E29" i="23"/>
  <c r="D29" i="23"/>
  <c r="D27" i="23"/>
  <c r="H34" i="23"/>
  <c r="F34" i="23" s="1"/>
  <c r="E34" i="23" s="1"/>
  <c r="E38" i="23"/>
  <c r="E63" i="23"/>
  <c r="F25" i="23"/>
  <c r="E25" i="23" s="1"/>
  <c r="E56" i="23"/>
  <c r="D28" i="23"/>
  <c r="E28" i="23"/>
  <c r="H31" i="23"/>
  <c r="F31" i="23" s="1"/>
  <c r="E31" i="23" s="1"/>
  <c r="E36" i="23"/>
  <c r="C26" i="23"/>
  <c r="C29" i="23"/>
  <c r="H32" i="23"/>
  <c r="F32" i="23" s="1"/>
  <c r="E32" i="23" s="1"/>
  <c r="E42" i="23"/>
  <c r="E54" i="23"/>
  <c r="E39" i="23"/>
  <c r="E52" i="23"/>
  <c r="E62" i="23"/>
  <c r="A14" i="26"/>
  <c r="A14" i="12"/>
  <c r="A15" i="22"/>
  <c r="A15" i="6"/>
  <c r="A15" i="27"/>
  <c r="A14" i="23"/>
  <c r="E15" i="14"/>
  <c r="A15" i="16"/>
  <c r="A16" i="25"/>
  <c r="A15" i="24"/>
  <c r="A15" i="28"/>
  <c r="C27" i="23" l="1"/>
  <c r="F27" i="23"/>
  <c r="E27" i="23" s="1"/>
  <c r="B72" i="22"/>
  <c r="D25" i="6" l="1"/>
  <c r="E25" i="6"/>
  <c r="D22" i="12" l="1"/>
</calcChain>
</file>

<file path=xl/sharedStrings.xml><?xml version="1.0" encoding="utf-8"?>
<sst xmlns="http://schemas.openxmlformats.org/spreadsheetml/2006/main" count="1140" uniqueCount="498">
  <si>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</si>
  <si>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</si>
  <si>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</si>
  <si>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</si>
  <si>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</si>
  <si>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</si>
  <si>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</si>
  <si>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</si>
  <si>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</si>
  <si>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</si>
  <si>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</si>
  <si>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</si>
  <si>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</si>
  <si>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</si>
  <si>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</si>
  <si>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</si>
  <si>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</si>
  <si>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</si>
  <si>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</si>
  <si>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</si>
  <si>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</si>
  <si>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</si>
  <si>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</si>
  <si>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</si>
  <si>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</si>
  <si>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</si>
  <si>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</si>
  <si>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</si>
  <si>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</si>
  <si>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</si>
  <si>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</si>
  <si>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</si>
  <si>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</si>
  <si>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</si>
  <si>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</si>
  <si>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</si>
  <si>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</si>
  <si>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</si>
  <si>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</si>
  <si>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</si>
  <si>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</si>
  <si>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</si>
  <si>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</si>
  <si>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</si>
  <si>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</si>
  <si>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</si>
  <si>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</si>
  <si>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</si>
  <si>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</si>
  <si>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</si>
  <si>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</si>
  <si>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</si>
  <si>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</si>
  <si>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</si>
  <si>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</si>
  <si>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</si>
  <si>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</si>
  <si>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</si>
  <si>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</si>
  <si>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</si>
  <si>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</si>
  <si>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</si>
  <si>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</si>
  <si>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</si>
  <si>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</si>
  <si>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</si>
  <si>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</si>
  <si>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</si>
  <si>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</si>
  <si>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</si>
  <si>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</si>
  <si>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</si>
  <si>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</si>
  <si>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</si>
  <si>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</si>
  <si>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</si>
  <si>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</si>
  <si>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</si>
  <si>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</si>
  <si>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</si>
  <si>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</si>
  <si>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</si>
  <si>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</si>
  <si>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</si>
  <si>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</si>
  <si>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</si>
  <si>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</si>
  <si>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</si>
  <si>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</si>
  <si>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</si>
  <si>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</si>
  <si>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</si>
  <si>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</si>
  <si>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</si>
  <si>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</si>
  <si>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</si>
  <si>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</si>
  <si>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</si>
  <si>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</si>
  <si>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</si>
  <si>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</si>
  <si>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</si>
  <si>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</si>
  <si>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</si>
  <si>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</si>
  <si>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</si>
  <si>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</si>
  <si>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</si>
  <si>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</si>
  <si>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</si>
  <si>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</si>
  <si>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</si>
  <si>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</si>
  <si>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</si>
  <si>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</si>
  <si>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</si>
  <si>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</si>
  <si>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</si>
  <si>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</si>
  <si>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</si>
  <si>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</si>
  <si>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</si>
  <si>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</si>
  <si>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</si>
  <si>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</si>
  <si>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</si>
  <si>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</si>
  <si>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</si>
  <si>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</si>
  <si>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</si>
  <si>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</si>
  <si>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</si>
  <si>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</si>
  <si>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</si>
  <si>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</si>
  <si>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</si>
  <si>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</si>
  <si>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</si>
  <si>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</si>
  <si>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</si>
  <si>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</si>
  <si>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</si>
  <si>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</si>
  <si>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</si>
  <si>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</si>
  <si>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</si>
  <si>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</si>
  <si>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</si>
  <si>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</si>
  <si>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</si>
  <si>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</si>
  <si>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</si>
  <si>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</si>
  <si>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</si>
  <si>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</si>
  <si>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</si>
  <si>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</si>
  <si>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</si>
  <si>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</si>
  <si>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</si>
  <si>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</si>
  <si>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</si>
  <si>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</si>
  <si>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</si>
  <si>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</si>
  <si>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</si>
  <si>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</si>
  <si>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</si>
  <si>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</si>
  <si>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</si>
  <si>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</si>
  <si>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</si>
  <si>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</si>
  <si>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</si>
  <si>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</si>
  <si>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</si>
  <si>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</si>
  <si>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</si>
  <si>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</si>
  <si>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</si>
  <si>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</si>
  <si>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</si>
  <si>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</si>
  <si>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</si>
  <si>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</si>
  <si>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</si>
  <si>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</si>
  <si>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</si>
  <si>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</si>
  <si>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</si>
  <si>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</si>
  <si>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</si>
  <si>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</si>
  <si>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</si>
  <si>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</si>
  <si>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</si>
  <si>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</si>
  <si>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</si>
  <si>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</si>
  <si>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</si>
  <si>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</si>
  <si>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</si>
  <si>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</si>
  <si>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</si>
  <si>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</si>
  <si>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</si>
  <si>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</si>
  <si>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</si>
  <si>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</si>
  <si>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</si>
  <si>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</si>
  <si>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</si>
  <si>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</si>
  <si>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</si>
  <si>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</si>
  <si>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</si>
  <si>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</si>
  <si>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</si>
  <si>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</si>
  <si>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</si>
  <si>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</si>
  <si>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</si>
  <si>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</si>
  <si>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</si>
  <si>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</si>
  <si>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</si>
  <si>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</si>
  <si>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</si>
  <si>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</si>
  <si>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</si>
  <si>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</si>
  <si>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</si>
  <si>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</si>
  <si>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</si>
  <si>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</si>
  <si>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</si>
  <si>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</si>
  <si>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</si>
  <si>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</si>
  <si>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</si>
  <si>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</si>
  <si>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</si>
  <si>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</si>
  <si>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</si>
  <si>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</si>
  <si>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</si>
  <si>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</si>
  <si>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</si>
  <si>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</si>
  <si>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</si>
  <si>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</si>
  <si>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</si>
  <si>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</si>
  <si>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</si>
  <si>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</si>
  <si>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</si>
  <si>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</si>
  <si>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</si>
  <si>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</si>
  <si>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</si>
  <si>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</si>
  <si>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</si>
  <si>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</si>
  <si>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</si>
  <si>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</si>
  <si>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</si>
  <si>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</si>
  <si>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</si>
  <si>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</si>
  <si>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</si>
  <si>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</si>
  <si>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</si>
  <si>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</si>
  <si>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</si>
  <si>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</si>
  <si>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</si>
  <si>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</si>
  <si>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</si>
  <si>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</si>
  <si>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</si>
  <si>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</si>
  <si>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</si>
  <si>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</si>
  <si>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</si>
  <si>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</si>
  <si>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</si>
  <si>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</si>
  <si>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</si>
  <si>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нет</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</si>
  <si>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</si>
  <si>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</si>
  <si>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</si>
  <si>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</si>
  <si>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</si>
  <si>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</si>
  <si>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</si>
  <si>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</si>
  <si>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</si>
  <si>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</si>
  <si>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</si>
  <si>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</si>
  <si>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</si>
  <si>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</si>
  <si>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</si>
  <si>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</si>
  <si>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</si>
  <si>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</si>
  <si>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</si>
  <si>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</si>
  <si>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</si>
  <si>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</si>
  <si>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</si>
  <si>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</si>
  <si>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</si>
  <si>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</si>
  <si>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</si>
  <si>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</si>
  <si>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</si>
  <si>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</si>
  <si>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</si>
  <si>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</si>
  <si>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</si>
  <si>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</si>
  <si>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</si>
  <si>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</si>
  <si>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</si>
  <si>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</si>
  <si>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</si>
  <si>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</si>
  <si>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</si>
  <si>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</si>
  <si>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</si>
  <si>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</si>
  <si>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</si>
  <si>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</si>
  <si>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</si>
  <si>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</si>
  <si>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</si>
  <si>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</si>
  <si>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</si>
  <si>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</si>
  <si>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</si>
  <si>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</si>
  <si>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</si>
  <si>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</si>
  <si>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</si>
  <si>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</si>
  <si>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</si>
  <si>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</si>
  <si>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</si>
  <si>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</si>
  <si>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</si>
  <si>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</si>
  <si>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</si>
  <si>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</si>
  <si>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</si>
  <si>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</si>
  <si>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</si>
  <si>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</si>
  <si>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</si>
  <si>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</si>
  <si>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</si>
  <si>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</si>
  <si>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</si>
  <si>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</si>
  <si>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</si>
  <si>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</si>
  <si>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</si>
  <si>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</si>
  <si>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</si>
  <si>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</si>
  <si>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</si>
  <si>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</si>
  <si>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</si>
  <si>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</si>
  <si>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</si>
  <si>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</si>
  <si>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</si>
  <si>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</si>
  <si>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</si>
  <si>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</si>
  <si>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</si>
  <si>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</si>
  <si>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</si>
  <si>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</si>
  <si>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</si>
  <si>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</si>
  <si>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</si>
  <si>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</si>
  <si>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</si>
  <si>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</si>
  <si>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</si>
  <si>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</si>
  <si>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</si>
  <si>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</si>
  <si>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</si>
  <si>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</si>
  <si>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</si>
  <si>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</si>
  <si>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</si>
  <si>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</si>
  <si>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</si>
  <si>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</si>
  <si>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</si>
  <si>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</si>
  <si>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</si>
  <si>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</si>
  <si>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</si>
  <si>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</si>
  <si>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</si>
  <si>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</si>
  <si>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</si>
  <si>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</si>
  <si>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</si>
  <si>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</si>
  <si>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</si>
  <si>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</si>
  <si>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</si>
  <si>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</si>
  <si>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</si>
  <si>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</si>
  <si>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</si>
  <si>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</si>
  <si>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</si>
  <si>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</si>
  <si>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</si>
  <si>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</si>
  <si>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</si>
  <si>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</si>
  <si>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</si>
  <si>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</si>
  <si>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</si>
  <si>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</si>
  <si>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</si>
  <si>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</si>
  <si>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</si>
  <si>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</si>
  <si>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</si>
  <si>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</si>
  <si>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</si>
  <si>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</si>
  <si>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</si>
  <si>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</si>
  <si>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</si>
  <si>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</si>
  <si>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</si>
  <si>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</si>
  <si>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</si>
  <si>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H_Che82</t>
  </si>
  <si>
    <t>Реконструкция ПС "Горец" (Расширение ОРУ-110кВ с установкой одной линейной ячейки 110кВ) (для технологического присоединения энергопринимающих устройств ВГК Ведучи)</t>
  </si>
  <si>
    <t>Сметная стоимость проекта в ценах 2019 года с НДС, млн. руб.</t>
  </si>
  <si>
    <t>с. Ведучи, Итум-Калинский р-н</t>
  </si>
  <si>
    <t xml:space="preserve">Объекты технологического присоединения мощностью свыше 750 кВт., 1 потребитель;  1) Расширение ОРУ-110кВ с установкой одной линейной ячейки 110кВ </t>
  </si>
  <si>
    <t>20.12.2019 г.</t>
  </si>
  <si>
    <t>30.12.2019 г.</t>
  </si>
  <si>
    <t>25.12.2019 г.</t>
  </si>
  <si>
    <t>28.05.2019 г.</t>
  </si>
  <si>
    <t>30.06.2019 г.</t>
  </si>
  <si>
    <t>02.07.2019 г</t>
  </si>
  <si>
    <t>15.07.2019г.</t>
  </si>
  <si>
    <t>30.07.2019г</t>
  </si>
  <si>
    <t>20.07.2019 г</t>
  </si>
  <si>
    <t>30.09.2019г</t>
  </si>
  <si>
    <t>05.11.2019 г</t>
  </si>
  <si>
    <t>02.12.2019г</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</si>
  <si>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</si>
  <si>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</si>
  <si>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 xml:space="preserve">2019 год </t>
  </si>
  <si>
    <t>Шт</t>
  </si>
  <si>
    <t>Филиал/ подразделение</t>
  </si>
  <si>
    <t>ПС 110 кВ "Горец"</t>
  </si>
  <si>
    <t>ТКФ-110; ТФМ-110;                    РДЗ-2-110кВ ; РДЗ-2-35 кВ; ВТ-35 кВ; ТДТН-25000/110</t>
  </si>
  <si>
    <t>ТКФ-110; ТФМ-110;                    РДЗ-2-110кВ ; РДЗ-2-35 кВ; ВТ-35 кВ;ТДТН-25000/110;  линейная ячейка 110 кВ</t>
  </si>
  <si>
    <t>не осуществлялось</t>
  </si>
  <si>
    <t xml:space="preserve"> линейная ячейка 110 кВ                               </t>
  </si>
  <si>
    <t>Неокупаем</t>
  </si>
  <si>
    <t>Договор ТП от 26.08.2016 г. №337/2016</t>
  </si>
  <si>
    <t>Год раскрытия информации: 2019 год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</si>
  <si>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</si>
  <si>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</si>
  <si>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</si>
  <si>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</si>
  <si>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г.Урус-Мартан</t>
  </si>
  <si>
    <t>не относится</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</si>
  <si>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- 4,45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</si>
  <si>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</si>
  <si>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</si>
  <si>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№337/2016 26.08.2016</t>
  </si>
  <si>
    <t>ПС 110 кВ для всесезонного горнолыжного курорта "Ведучи"</t>
  </si>
  <si>
    <t>ПС 110/35/10 "Горец"</t>
  </si>
  <si>
    <t>Исполнение обязательств по договору технологического присоединения №337/2016 26.08.2016</t>
  </si>
  <si>
    <t>Технологическое присоединение ПС 110 кВ для всесезонного горнолыжного курорта "Ведучи" максимальной мощностью 24 МВт</t>
  </si>
  <si>
    <t>19,616 млн.руб./шт.</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</si>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</sst>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86">
    <xf numFmtId="0" fontId="0" fillId="0" borderId="0"/>
    <xf numFmtId="0" fontId="16" fillId="2" borderId="0" applyNumberFormat="0" applyBorder="0" applyAlignment="0" applyProtection="0"/>
    <xf numFmtId="0" fontId="1" fillId="2" borderId="0" applyNumberFormat="0" applyBorder="0" applyAlignment="0" applyProtection="0"/>
    <xf numFmtId="0" fontId="16" fillId="3" borderId="0" applyNumberFormat="0" applyBorder="0" applyAlignment="0" applyProtection="0"/>
    <xf numFmtId="0" fontId="1" fillId="3" borderId="0" applyNumberFormat="0" applyBorder="0" applyAlignment="0" applyProtection="0"/>
    <xf numFmtId="0" fontId="16" fillId="4" borderId="0" applyNumberFormat="0" applyBorder="0" applyAlignment="0" applyProtection="0"/>
    <xf numFmtId="0" fontId="1" fillId="4" borderId="0" applyNumberFormat="0" applyBorder="0" applyAlignment="0" applyProtection="0"/>
    <xf numFmtId="0" fontId="16" fillId="5" borderId="0" applyNumberFormat="0" applyBorder="0" applyAlignment="0" applyProtection="0"/>
    <xf numFmtId="0" fontId="1" fillId="5" borderId="0" applyNumberFormat="0" applyBorder="0" applyAlignment="0" applyProtection="0"/>
    <xf numFmtId="0" fontId="16" fillId="6" borderId="0" applyNumberFormat="0" applyBorder="0" applyAlignment="0" applyProtection="0"/>
    <xf numFmtId="0" fontId="1" fillId="6" borderId="0" applyNumberFormat="0" applyBorder="0" applyAlignment="0" applyProtection="0"/>
    <xf numFmtId="0" fontId="16" fillId="7" borderId="0" applyNumberFormat="0" applyBorder="0" applyAlignment="0" applyProtection="0"/>
    <xf numFmtId="0" fontId="1" fillId="7" borderId="0" applyNumberFormat="0" applyBorder="0" applyAlignment="0" applyProtection="0"/>
    <xf numFmtId="0" fontId="16" fillId="8" borderId="0" applyNumberFormat="0" applyBorder="0" applyAlignment="0" applyProtection="0"/>
    <xf numFmtId="0" fontId="1" fillId="8" borderId="0" applyNumberFormat="0" applyBorder="0" applyAlignment="0" applyProtection="0"/>
    <xf numFmtId="0" fontId="16" fillId="9" borderId="0" applyNumberFormat="0" applyBorder="0" applyAlignment="0" applyProtection="0"/>
    <xf numFmtId="0" fontId="1" fillId="9" borderId="0" applyNumberFormat="0" applyBorder="0" applyAlignment="0" applyProtection="0"/>
    <xf numFmtId="0" fontId="16" fillId="10" borderId="0" applyNumberFormat="0" applyBorder="0" applyAlignment="0" applyProtection="0"/>
    <xf numFmtId="0" fontId="1" fillId="10" borderId="0" applyNumberFormat="0" applyBorder="0" applyAlignment="0" applyProtection="0"/>
    <xf numFmtId="0" fontId="16" fillId="5" borderId="0" applyNumberFormat="0" applyBorder="0" applyAlignment="0" applyProtection="0"/>
    <xf numFmtId="0" fontId="1" fillId="5" borderId="0" applyNumberFormat="0" applyBorder="0" applyAlignment="0" applyProtection="0"/>
    <xf numFmtId="0" fontId="16" fillId="8" borderId="0" applyNumberFormat="0" applyBorder="0" applyAlignment="0" applyProtection="0"/>
    <xf numFmtId="0" fontId="1" fillId="8" borderId="0" applyNumberFormat="0" applyBorder="0" applyAlignment="0" applyProtection="0"/>
    <xf numFmtId="0" fontId="16" fillId="11"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3"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0" fontId="1" fillId="23" borderId="8"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cellStyleXfs>
  <cellXfs count="299">
    <xf numFmtId="0" fontId="0" fillId="0" borderId="0" xfId="0"/>
    <xf numFmtId="0" fontId="4" fillId="0" borderId="0" xfId="66" applyFont="1" applyFill="1" applyBorder="1" applyAlignment="1">
      <alignment vertical="center"/>
    </xf>
    <xf numFmtId="0" fontId="10" fillId="0" borderId="0" xfId="66" applyFont="1" applyFill="1"/>
    <xf numFmtId="49" fontId="7" fillId="0" borderId="10" xfId="66" applyNumberFormat="1" applyFont="1" applyFill="1" applyBorder="1" applyAlignment="1">
      <alignment vertical="center"/>
    </xf>
    <xf numFmtId="0" fontId="11" fillId="0" borderId="10" xfId="55" applyFont="1" applyFill="1" applyBorder="1" applyAlignment="1">
      <alignment vertical="center" wrapText="1"/>
    </xf>
    <xf numFmtId="0" fontId="11" fillId="0" borderId="11" xfId="55" applyFont="1" applyFill="1" applyBorder="1" applyAlignment="1">
      <alignment vertical="center" wrapText="1"/>
    </xf>
    <xf numFmtId="0" fontId="35" fillId="0" borderId="10" xfId="55" applyFont="1" applyFill="1" applyBorder="1" applyAlignment="1">
      <alignment horizontal="center" vertical="center" wrapText="1"/>
    </xf>
    <xf numFmtId="0" fontId="11" fillId="0" borderId="0" xfId="55" applyFont="1" applyFill="1" applyAlignment="1">
      <alignment horizontal="right"/>
    </xf>
    <xf numFmtId="0" fontId="11" fillId="0" borderId="10" xfId="55" applyFont="1" applyFill="1" applyBorder="1" applyAlignment="1">
      <alignment horizontal="left" vertical="center" wrapText="1"/>
    </xf>
    <xf numFmtId="0" fontId="11" fillId="0" borderId="0" xfId="55" applyFont="1" applyFill="1"/>
    <xf numFmtId="0" fontId="11" fillId="0" borderId="0" xfId="55" applyFont="1" applyFill="1" applyBorder="1" applyAlignment="1"/>
    <xf numFmtId="0" fontId="11" fillId="0" borderId="0" xfId="55" applyFont="1" applyFill="1" applyBorder="1"/>
    <xf numFmtId="49" fontId="11" fillId="0" borderId="10" xfId="55" applyNumberFormat="1" applyFont="1" applyFill="1" applyBorder="1" applyAlignment="1">
      <alignment horizontal="center" vertical="center" wrapText="1"/>
    </xf>
    <xf numFmtId="0" fontId="39" fillId="0" borderId="10" xfId="55" applyFont="1" applyFill="1" applyBorder="1" applyAlignment="1">
      <alignment horizontal="left" vertical="center" wrapText="1"/>
    </xf>
    <xf numFmtId="49" fontId="39" fillId="0" borderId="10" xfId="55" applyNumberFormat="1" applyFont="1" applyFill="1" applyBorder="1" applyAlignment="1">
      <alignment horizontal="center" vertical="center" wrapText="1"/>
    </xf>
    <xf numFmtId="0" fontId="11" fillId="0" borderId="12" xfId="55" applyFont="1" applyFill="1" applyBorder="1" applyAlignment="1">
      <alignment horizontal="left" vertical="center" wrapText="1"/>
    </xf>
    <xf numFmtId="0" fontId="39" fillId="0" borderId="10" xfId="55" applyFont="1" applyFill="1" applyBorder="1" applyAlignment="1">
      <alignment horizontal="center" vertical="center" textRotation="90" wrapText="1"/>
    </xf>
    <xf numFmtId="0" fontId="12" fillId="0" borderId="0" xfId="55" applyFont="1" applyFill="1" applyAlignment="1"/>
    <xf numFmtId="0" fontId="8" fillId="0" borderId="0" xfId="55" applyFont="1" applyFill="1" applyAlignment="1">
      <alignment vertical="center"/>
    </xf>
    <xf numFmtId="0" fontId="44" fillId="0" borderId="0" xfId="55" applyFont="1" applyFill="1" applyAlignment="1"/>
    <xf numFmtId="0" fontId="11" fillId="0" borderId="10" xfId="55" applyFont="1" applyFill="1" applyBorder="1"/>
    <xf numFmtId="0" fontId="11" fillId="0" borderId="10" xfId="55" applyNumberFormat="1" applyFont="1" applyFill="1" applyBorder="1" applyAlignment="1">
      <alignment horizontal="center" vertical="top" wrapText="1"/>
    </xf>
    <xf numFmtId="0" fontId="39" fillId="0" borderId="10" xfId="55" applyNumberFormat="1" applyFont="1" applyFill="1" applyBorder="1" applyAlignment="1">
      <alignment horizontal="center" vertical="top" wrapText="1"/>
    </xf>
    <xf numFmtId="0" fontId="0" fillId="0" borderId="10" xfId="0" applyFill="1" applyBorder="1" applyAlignment="1">
      <alignment wrapText="1"/>
    </xf>
    <xf numFmtId="0" fontId="37" fillId="0" borderId="0" xfId="55" applyFont="1" applyFill="1"/>
    <xf numFmtId="0" fontId="11" fillId="0" borderId="0" xfId="55" applyFill="1"/>
    <xf numFmtId="2" fontId="45" fillId="0" borderId="0" xfId="55" applyNumberFormat="1" applyFont="1" applyFill="1" applyAlignment="1">
      <alignment horizontal="right" vertical="top" wrapText="1"/>
    </xf>
    <xf numFmtId="0" fontId="37" fillId="0" borderId="0" xfId="55" applyFont="1" applyFill="1" applyAlignment="1">
      <alignment horizontal="right"/>
    </xf>
    <xf numFmtId="1" fontId="38" fillId="0" borderId="0" xfId="55" applyNumberFormat="1" applyFont="1" applyFill="1" applyAlignment="1">
      <alignment horizontal="left" vertical="top"/>
    </xf>
    <xf numFmtId="49" fontId="37" fillId="0" borderId="0" xfId="55" applyNumberFormat="1" applyFont="1" applyFill="1" applyAlignment="1">
      <alignment horizontal="left" vertical="top" wrapText="1"/>
    </xf>
    <xf numFmtId="49" fontId="37" fillId="0" borderId="0" xfId="55" applyNumberFormat="1" applyFont="1" applyFill="1" applyBorder="1" applyAlignment="1">
      <alignment horizontal="left" vertical="top"/>
    </xf>
    <xf numFmtId="0" fontId="37" fillId="0" borderId="0" xfId="55" applyFont="1" applyFill="1" applyBorder="1" applyAlignment="1">
      <alignment horizontal="center" vertical="center"/>
    </xf>
    <xf numFmtId="0" fontId="7" fillId="0" borderId="10" xfId="66"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55" applyNumberFormat="1" applyFont="1" applyFill="1" applyBorder="1" applyAlignment="1">
      <alignment horizontal="center" vertical="center" wrapText="1"/>
    </xf>
    <xf numFmtId="0" fontId="7" fillId="0" borderId="10" xfId="61" applyFont="1" applyFill="1" applyBorder="1" applyAlignment="1">
      <alignment horizontal="left" vertical="center" wrapText="1"/>
    </xf>
    <xf numFmtId="0" fontId="36" fillId="0" borderId="10" xfId="61" applyFont="1" applyFill="1" applyBorder="1" applyAlignment="1">
      <alignment horizontal="left" vertical="center" wrapText="1"/>
    </xf>
    <xf numFmtId="0" fontId="7" fillId="0" borderId="14" xfId="61" applyFont="1" applyFill="1" applyBorder="1" applyAlignment="1">
      <alignment horizontal="left" vertical="center" wrapText="1"/>
    </xf>
    <xf numFmtId="0" fontId="39" fillId="0" borderId="10" xfId="53" applyFont="1" applyFill="1" applyBorder="1" applyAlignment="1">
      <alignment horizontal="center" vertical="center" wrapText="1"/>
    </xf>
    <xf numFmtId="0" fontId="64" fillId="0" borderId="0" xfId="65" applyFont="1" applyFill="1" applyAlignment="1"/>
    <xf numFmtId="0" fontId="65" fillId="0" borderId="0" xfId="65" applyFont="1" applyFill="1" applyAlignment="1"/>
    <xf numFmtId="0" fontId="57"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66" applyFont="1" applyFill="1"/>
    <xf numFmtId="0" fontId="66" fillId="0" borderId="0" xfId="66" applyFont="1" applyFill="1"/>
    <xf numFmtId="0" fontId="12" fillId="0" borderId="0" xfId="55" applyFont="1" applyFill="1" applyAlignment="1">
      <alignment horizontal="right" vertical="center"/>
    </xf>
    <xf numFmtId="0" fontId="12" fillId="0" borderId="0" xfId="55" applyFont="1" applyFill="1" applyAlignment="1">
      <alignment horizontal="right"/>
    </xf>
    <xf numFmtId="0" fontId="67" fillId="0" borderId="0" xfId="66" applyFont="1" applyFill="1" applyAlignment="1">
      <alignment horizontal="left" vertical="center"/>
    </xf>
    <xf numFmtId="0" fontId="67" fillId="0" borderId="0" xfId="66" applyFont="1" applyFill="1" applyAlignment="1">
      <alignment horizontal="center" vertical="center"/>
    </xf>
    <xf numFmtId="0" fontId="66" fillId="0" borderId="0" xfId="66" applyFont="1" applyFill="1" applyAlignment="1">
      <alignment horizontal="center"/>
    </xf>
    <xf numFmtId="0" fontId="63" fillId="0" borderId="0" xfId="66" applyFont="1" applyFill="1" applyBorder="1" applyAlignment="1">
      <alignment horizontal="center" vertical="center"/>
    </xf>
    <xf numFmtId="0" fontId="63" fillId="0" borderId="0" xfId="66" applyFont="1" applyFill="1" applyAlignment="1">
      <alignment horizontal="center" vertical="center"/>
    </xf>
    <xf numFmtId="0" fontId="56" fillId="0" borderId="0" xfId="67" applyFill="1"/>
    <xf numFmtId="0" fontId="11" fillId="0" borderId="0" xfId="55" applyFont="1" applyFill="1" applyBorder="1" applyAlignment="1">
      <alignment horizontal="center"/>
    </xf>
    <xf numFmtId="1" fontId="11" fillId="0" borderId="10" xfId="55" applyNumberFormat="1" applyFont="1" applyFill="1" applyBorder="1" applyAlignment="1">
      <alignment horizontal="center" vertical="center" wrapText="1"/>
    </xf>
    <xf numFmtId="0" fontId="11" fillId="0" borderId="0" xfId="55" applyFont="1" applyFill="1" applyAlignment="1">
      <alignment vertical="center" wrapText="1"/>
    </xf>
    <xf numFmtId="0" fontId="11" fillId="0" borderId="0" xfId="55" applyFont="1" applyFill="1" applyBorder="1" applyAlignment="1">
      <alignment vertical="center" wrapText="1"/>
    </xf>
    <xf numFmtId="0" fontId="11" fillId="0" borderId="10" xfId="55" applyNumberFormat="1" applyFont="1" applyFill="1" applyBorder="1" applyAlignment="1">
      <alignment horizontal="left" vertical="center" wrapText="1"/>
    </xf>
    <xf numFmtId="9" fontId="11" fillId="0" borderId="10" xfId="55" applyNumberFormat="1" applyFont="1" applyFill="1" applyBorder="1" applyAlignment="1">
      <alignment horizontal="center" vertical="center" wrapText="1"/>
    </xf>
    <xf numFmtId="9" fontId="11" fillId="0" borderId="10" xfId="55" applyNumberFormat="1" applyFont="1" applyFill="1" applyBorder="1" applyAlignment="1">
      <alignment vertical="center" wrapText="1"/>
    </xf>
    <xf numFmtId="49" fontId="60" fillId="0" borderId="10" xfId="66" applyNumberFormat="1" applyFont="1" applyFill="1" applyBorder="1" applyAlignment="1">
      <alignment vertical="center"/>
    </xf>
    <xf numFmtId="0" fontId="60" fillId="0" borderId="11" xfId="66" applyFont="1" applyFill="1" applyBorder="1" applyAlignment="1">
      <alignment vertical="center" wrapText="1"/>
    </xf>
    <xf numFmtId="0" fontId="60" fillId="0" borderId="10" xfId="66" applyFont="1" applyFill="1" applyBorder="1" applyAlignment="1">
      <alignment horizontal="left" vertical="center" wrapText="1"/>
    </xf>
    <xf numFmtId="49" fontId="7" fillId="0" borderId="10" xfId="66" applyNumberFormat="1" applyFont="1" applyFill="1" applyBorder="1" applyAlignment="1">
      <alignment horizontal="center" vertical="center" wrapText="1"/>
    </xf>
    <xf numFmtId="49" fontId="7" fillId="0" borderId="10" xfId="66" applyNumberFormat="1" applyFont="1" applyFill="1" applyBorder="1" applyAlignment="1">
      <alignment horizontal="left" vertical="center" wrapText="1"/>
    </xf>
    <xf numFmtId="0" fontId="72" fillId="0" borderId="11" xfId="66" applyFont="1" applyFill="1" applyBorder="1" applyAlignment="1">
      <alignment horizontal="center" vertical="center" wrapText="1"/>
    </xf>
    <xf numFmtId="0" fontId="39" fillId="0" borderId="0" xfId="0" applyFont="1" applyFill="1" applyAlignment="1">
      <alignment horizontal="center" vertical="center"/>
    </xf>
    <xf numFmtId="0" fontId="4" fillId="0" borderId="0" xfId="66" applyFont="1" applyFill="1" applyBorder="1" applyAlignment="1">
      <alignment horizontal="center" vertical="center"/>
    </xf>
    <xf numFmtId="0" fontId="39" fillId="0" borderId="14" xfId="53" applyFont="1" applyFill="1" applyBorder="1" applyAlignment="1">
      <alignment horizontal="center" vertical="center" wrapText="1"/>
    </xf>
    <xf numFmtId="0" fontId="60" fillId="0" borderId="0" xfId="66" applyFont="1" applyFill="1" applyAlignment="1">
      <alignment horizontal="center" vertical="center"/>
    </xf>
    <xf numFmtId="0" fontId="61" fillId="0" borderId="0" xfId="66" applyFont="1" applyFill="1" applyAlignment="1">
      <alignment horizontal="center" vertical="center"/>
    </xf>
    <xf numFmtId="0" fontId="39" fillId="0" borderId="10" xfId="55" applyFont="1" applyFill="1" applyBorder="1" applyAlignment="1">
      <alignment horizontal="center" vertical="center" wrapText="1"/>
    </xf>
    <xf numFmtId="0" fontId="39" fillId="0" borderId="0" xfId="55" applyFont="1" applyFill="1" applyAlignment="1">
      <alignment horizontal="center" vertical="top" wrapText="1"/>
    </xf>
    <xf numFmtId="0" fontId="39" fillId="0" borderId="10" xfId="55" applyNumberFormat="1" applyFont="1" applyFill="1" applyBorder="1" applyAlignment="1">
      <alignment horizontal="center" vertical="center" wrapText="1"/>
    </xf>
    <xf numFmtId="0" fontId="11" fillId="0" borderId="0" xfId="55" applyFont="1" applyFill="1" applyAlignment="1">
      <alignment horizontal="left" vertical="center" wrapText="1"/>
    </xf>
    <xf numFmtId="0" fontId="11" fillId="0" borderId="0" xfId="55" applyFont="1" applyFill="1" applyBorder="1" applyAlignment="1">
      <alignment horizontal="left" wrapText="1"/>
    </xf>
    <xf numFmtId="0" fontId="44" fillId="0" borderId="0" xfId="55" applyFont="1" applyFill="1" applyAlignment="1">
      <alignment horizontal="center"/>
    </xf>
    <xf numFmtId="0" fontId="5" fillId="0" borderId="0" xfId="66" applyFont="1" applyFill="1" applyAlignment="1">
      <alignment vertical="center"/>
    </xf>
    <xf numFmtId="0" fontId="5" fillId="0" borderId="0" xfId="66" applyFont="1" applyFill="1" applyAlignment="1">
      <alignment horizontal="center" vertical="center"/>
    </xf>
    <xf numFmtId="0" fontId="39" fillId="0" borderId="0" xfId="55" applyFont="1" applyFill="1" applyAlignment="1">
      <alignment vertical="center" wrapText="1"/>
    </xf>
    <xf numFmtId="0" fontId="9" fillId="0" borderId="0" xfId="66" applyFont="1" applyFill="1" applyAlignment="1">
      <alignment vertical="center"/>
    </xf>
    <xf numFmtId="0" fontId="7" fillId="0" borderId="0" xfId="66" applyFont="1" applyFill="1" applyAlignment="1">
      <alignment vertical="center"/>
    </xf>
    <xf numFmtId="0" fontId="37" fillId="0" borderId="10" xfId="55" applyFont="1" applyFill="1" applyBorder="1" applyAlignment="1">
      <alignment horizontal="justify"/>
    </xf>
    <xf numFmtId="2" fontId="37" fillId="0" borderId="10" xfId="55" applyNumberFormat="1" applyFont="1" applyFill="1" applyBorder="1" applyAlignment="1">
      <alignment horizontal="justify"/>
    </xf>
    <xf numFmtId="2" fontId="37" fillId="0" borderId="10" xfId="55" applyNumberFormat="1" applyFont="1" applyFill="1" applyBorder="1" applyAlignment="1">
      <alignment horizontal="justify" vertical="top" wrapText="1"/>
    </xf>
    <xf numFmtId="9" fontId="37" fillId="0" borderId="10" xfId="55" applyNumberFormat="1" applyFont="1" applyFill="1" applyBorder="1" applyAlignment="1">
      <alignment horizontal="justify" vertical="top" wrapText="1"/>
    </xf>
    <xf numFmtId="0" fontId="37" fillId="0" borderId="10" xfId="55" applyFont="1" applyFill="1" applyBorder="1" applyAlignment="1">
      <alignment vertical="top" wrapText="1"/>
    </xf>
    <xf numFmtId="0" fontId="48" fillId="0" borderId="0" xfId="65" applyFont="1" applyFill="1"/>
    <xf numFmtId="0" fontId="36" fillId="0" borderId="10" xfId="65" applyFont="1" applyFill="1" applyBorder="1" applyAlignment="1">
      <alignment horizontal="center" vertical="center" wrapText="1"/>
    </xf>
    <xf numFmtId="0" fontId="50" fillId="0" borderId="10" xfId="65" applyFont="1" applyFill="1" applyBorder="1" applyAlignment="1">
      <alignment horizontal="center" vertical="center"/>
    </xf>
    <xf numFmtId="0" fontId="50" fillId="0" borderId="0" xfId="65" applyFont="1" applyFill="1"/>
    <xf numFmtId="1" fontId="55" fillId="0" borderId="10" xfId="65" applyNumberFormat="1" applyFont="1" applyFill="1" applyBorder="1" applyAlignment="1">
      <alignment horizontal="center" vertical="center" wrapText="1"/>
    </xf>
    <xf numFmtId="49" fontId="55" fillId="0" borderId="10" xfId="65" applyNumberFormat="1" applyFont="1" applyFill="1" applyBorder="1" applyAlignment="1">
      <alignment horizontal="center" vertical="center" wrapText="1"/>
    </xf>
    <xf numFmtId="0" fontId="39" fillId="0" borderId="10" xfId="55" applyFont="1" applyFill="1" applyBorder="1" applyAlignment="1">
      <alignment vertical="top" wrapText="1"/>
    </xf>
    <xf numFmtId="0" fontId="11" fillId="0" borderId="10" xfId="55" applyFont="1" applyFill="1" applyBorder="1" applyAlignment="1">
      <alignment horizontal="center" vertical="center" wrapText="1"/>
    </xf>
    <xf numFmtId="0" fontId="11" fillId="0" borderId="10" xfId="55" applyFont="1" applyFill="1" applyBorder="1" applyAlignment="1">
      <alignment horizontal="justify" vertical="center" wrapText="1"/>
    </xf>
    <xf numFmtId="0" fontId="60" fillId="0" borderId="10" xfId="65" applyFont="1" applyFill="1" applyBorder="1" applyAlignment="1">
      <alignment horizontal="center" vertical="center" wrapText="1"/>
    </xf>
    <xf numFmtId="0" fontId="39" fillId="0" borderId="10" xfId="55" applyFont="1" applyFill="1" applyBorder="1" applyAlignment="1">
      <alignment vertical="center" wrapText="1"/>
    </xf>
    <xf numFmtId="14" fontId="11" fillId="0" borderId="10" xfId="55" applyNumberFormat="1" applyFont="1" applyFill="1" applyBorder="1" applyAlignment="1">
      <alignment horizontal="center" vertical="center" wrapText="1"/>
    </xf>
    <xf numFmtId="14" fontId="11" fillId="0" borderId="10" xfId="55" applyNumberFormat="1" applyFont="1" applyFill="1" applyBorder="1" applyAlignment="1">
      <alignment vertical="center" wrapText="1"/>
    </xf>
    <xf numFmtId="0" fontId="0" fillId="0" borderId="0" xfId="0" applyFill="1"/>
    <xf numFmtId="0" fontId="70" fillId="0" borderId="16" xfId="55" applyFont="1" applyFill="1" applyBorder="1" applyAlignment="1">
      <alignment horizontal="center" vertical="center" wrapText="1"/>
    </xf>
    <xf numFmtId="0" fontId="70" fillId="0" borderId="13" xfId="55" applyFont="1" applyFill="1" applyBorder="1" applyAlignment="1">
      <alignment horizontal="center" vertical="center" wrapText="1"/>
    </xf>
    <xf numFmtId="0" fontId="70" fillId="0" borderId="17" xfId="55" applyFont="1" applyFill="1" applyBorder="1" applyAlignment="1">
      <alignment horizontal="center" vertical="center" wrapText="1"/>
    </xf>
    <xf numFmtId="4" fontId="11" fillId="0" borderId="10" xfId="55" applyNumberFormat="1" applyFont="1" applyFill="1" applyBorder="1" applyAlignment="1">
      <alignment horizontal="center" vertical="center" wrapText="1"/>
    </xf>
    <xf numFmtId="9" fontId="11" fillId="0" borderId="10" xfId="76" applyFont="1" applyFill="1" applyBorder="1" applyAlignment="1">
      <alignment horizontal="center" vertical="center" wrapText="1"/>
    </xf>
    <xf numFmtId="3" fontId="11" fillId="0" borderId="10" xfId="55" applyNumberFormat="1" applyFont="1" applyFill="1" applyBorder="1" applyAlignment="1">
      <alignment horizontal="center" vertical="center" wrapText="1"/>
    </xf>
    <xf numFmtId="0" fontId="61" fillId="0" borderId="0" xfId="66" applyFont="1" applyFill="1" applyAlignment="1">
      <alignment vertical="center"/>
    </xf>
    <xf numFmtId="0" fontId="66" fillId="0" borderId="0" xfId="66" applyFont="1" applyFill="1" applyBorder="1"/>
    <xf numFmtId="0" fontId="62" fillId="0" borderId="0" xfId="66" applyFont="1" applyFill="1" applyAlignment="1">
      <alignment vertical="center"/>
    </xf>
    <xf numFmtId="0" fontId="68" fillId="0" borderId="0" xfId="66" applyFont="1" applyFill="1"/>
    <xf numFmtId="0" fontId="60" fillId="0" borderId="0" xfId="66" applyFont="1" applyFill="1" applyAlignment="1">
      <alignment vertical="center"/>
    </xf>
    <xf numFmtId="0" fontId="69" fillId="0" borderId="0" xfId="66" applyFont="1" applyFill="1" applyAlignment="1">
      <alignment vertical="center"/>
    </xf>
    <xf numFmtId="0" fontId="70" fillId="0" borderId="10" xfId="66" applyFont="1" applyFill="1" applyBorder="1" applyAlignment="1">
      <alignment horizontal="center" vertical="center" wrapText="1"/>
    </xf>
    <xf numFmtId="0" fontId="70" fillId="0" borderId="10" xfId="66" applyFont="1" applyFill="1" applyBorder="1" applyAlignment="1">
      <alignment horizontal="center" vertical="center"/>
    </xf>
    <xf numFmtId="0" fontId="61" fillId="0" borderId="10" xfId="66" applyFont="1" applyFill="1" applyBorder="1" applyAlignment="1">
      <alignment horizontal="center" vertical="center"/>
    </xf>
    <xf numFmtId="0" fontId="68" fillId="0" borderId="0" xfId="66" applyFont="1" applyFill="1" applyBorder="1"/>
    <xf numFmtId="0" fontId="60" fillId="0" borderId="10" xfId="66" applyFont="1" applyFill="1" applyBorder="1" applyAlignment="1">
      <alignment horizontal="center" vertical="center" wrapText="1"/>
    </xf>
    <xf numFmtId="0" fontId="60" fillId="0" borderId="11" xfId="66" applyFont="1" applyFill="1" applyBorder="1" applyAlignment="1">
      <alignment horizontal="center" vertical="center" wrapText="1"/>
    </xf>
    <xf numFmtId="0" fontId="59" fillId="0" borderId="0" xfId="66" applyFill="1" applyBorder="1"/>
    <xf numFmtId="0" fontId="59" fillId="0" borderId="0" xfId="66" applyFill="1"/>
    <xf numFmtId="0" fontId="63" fillId="0" borderId="0" xfId="66" applyFont="1" applyFill="1" applyBorder="1" applyAlignment="1">
      <alignment vertical="center"/>
    </xf>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7"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66" applyFont="1" applyFill="1" applyAlignment="1">
      <alignment horizontal="left" vertical="center"/>
    </xf>
    <xf numFmtId="0" fontId="10" fillId="0" borderId="0" xfId="66" applyFont="1" applyFill="1" applyBorder="1"/>
    <xf numFmtId="0" fontId="6" fillId="0" borderId="0" xfId="66" applyFont="1" applyFill="1"/>
    <xf numFmtId="0" fontId="4" fillId="0" borderId="0" xfId="66" applyFont="1" applyFill="1" applyAlignment="1">
      <alignment horizontal="center" vertical="center"/>
    </xf>
    <xf numFmtId="0" fontId="8" fillId="0" borderId="0" xfId="66" applyFont="1" applyFill="1" applyAlignment="1">
      <alignment vertical="center"/>
    </xf>
    <xf numFmtId="0" fontId="7" fillId="0" borderId="10" xfId="66" applyFont="1" applyFill="1" applyBorder="1" applyAlignment="1">
      <alignment vertical="center" wrapText="1"/>
    </xf>
    <xf numFmtId="0" fontId="7" fillId="0" borderId="11" xfId="66" applyFont="1" applyFill="1" applyBorder="1" applyAlignment="1">
      <alignment horizontal="center" vertical="center" wrapText="1"/>
    </xf>
    <xf numFmtId="0" fontId="7" fillId="0" borderId="10" xfId="66" applyFont="1" applyFill="1" applyBorder="1" applyAlignment="1">
      <alignment horizontal="center" vertical="center" wrapText="1"/>
    </xf>
    <xf numFmtId="0" fontId="7" fillId="0" borderId="0" xfId="66" applyFont="1" applyFill="1" applyBorder="1" applyAlignment="1">
      <alignment vertical="center"/>
    </xf>
    <xf numFmtId="0" fontId="6" fillId="0" borderId="0" xfId="66" applyFont="1" applyFill="1" applyBorder="1"/>
    <xf numFmtId="0" fontId="7" fillId="0" borderId="11" xfId="66" applyFont="1" applyFill="1" applyBorder="1" applyAlignment="1">
      <alignment vertical="center" wrapText="1"/>
    </xf>
    <xf numFmtId="1" fontId="60" fillId="0" borderId="10" xfId="66" applyNumberFormat="1" applyFont="1" applyFill="1" applyBorder="1" applyAlignment="1">
      <alignment horizontal="left" vertical="center" wrapText="1"/>
    </xf>
    <xf numFmtId="2" fontId="73" fillId="0" borderId="10" xfId="66" applyNumberFormat="1" applyFont="1" applyFill="1" applyBorder="1" applyAlignment="1">
      <alignment horizontal="center"/>
    </xf>
    <xf numFmtId="0" fontId="73" fillId="0" borderId="10" xfId="66" applyFont="1" applyFill="1" applyBorder="1" applyAlignment="1">
      <alignment horizontal="center"/>
    </xf>
    <xf numFmtId="0" fontId="60" fillId="0" borderId="10" xfId="66" applyFont="1" applyFill="1" applyBorder="1" applyAlignment="1">
      <alignment vertical="center" wrapText="1"/>
    </xf>
    <xf numFmtId="0" fontId="11" fillId="0" borderId="0" xfId="53" applyFont="1" applyFill="1" applyAlignment="1">
      <alignment horizontal="left"/>
    </xf>
    <xf numFmtId="0" fontId="11" fillId="0" borderId="0" xfId="53" applyFont="1" applyFill="1" applyAlignment="1">
      <alignment horizontal="left" vertical="center"/>
    </xf>
    <xf numFmtId="0" fontId="39" fillId="0" borderId="10" xfId="53" applyFont="1" applyFill="1" applyBorder="1" applyAlignment="1">
      <alignment horizontal="center" vertical="top"/>
    </xf>
    <xf numFmtId="0" fontId="39" fillId="0" borderId="10" xfId="53" applyFont="1" applyFill="1" applyBorder="1" applyAlignment="1">
      <alignment horizontal="center" vertical="center"/>
    </xf>
    <xf numFmtId="0" fontId="39" fillId="0" borderId="10" xfId="53" applyFont="1" applyFill="1" applyBorder="1" applyAlignment="1">
      <alignment horizontal="left" vertical="center" wrapText="1"/>
    </xf>
    <xf numFmtId="0" fontId="39" fillId="0" borderId="10" xfId="53" applyFont="1" applyFill="1" applyBorder="1" applyAlignment="1">
      <alignment horizontal="left" vertical="center"/>
    </xf>
    <xf numFmtId="49" fontId="11" fillId="0" borderId="0" xfId="53" applyNumberFormat="1" applyFont="1" applyFill="1" applyBorder="1" applyAlignment="1">
      <alignment horizontal="left" vertical="center" wrapText="1"/>
    </xf>
    <xf numFmtId="0" fontId="11" fillId="0" borderId="0" xfId="53" applyFont="1" applyFill="1" applyBorder="1" applyAlignment="1">
      <alignment horizontal="left" vertical="center" wrapText="1"/>
    </xf>
    <xf numFmtId="0" fontId="11" fillId="0" borderId="0" xfId="53" applyFont="1" applyFill="1" applyBorder="1" applyAlignment="1">
      <alignment horizontal="left"/>
    </xf>
    <xf numFmtId="0" fontId="42" fillId="0" borderId="0" xfId="53" applyFont="1" applyFill="1" applyAlignment="1">
      <alignment horizontal="left"/>
    </xf>
    <xf numFmtId="0" fontId="41" fillId="0" borderId="0" xfId="53" applyFont="1" applyFill="1" applyAlignment="1">
      <alignment horizontal="left"/>
    </xf>
    <xf numFmtId="0" fontId="41" fillId="0" borderId="0" xfId="53" applyFont="1" applyFill="1" applyBorder="1" applyAlignment="1">
      <alignment horizontal="left"/>
    </xf>
    <xf numFmtId="0" fontId="11" fillId="0" borderId="10" xfId="53" applyFont="1" applyFill="1" applyBorder="1" applyAlignment="1">
      <alignment horizontal="center" vertical="top"/>
    </xf>
    <xf numFmtId="0" fontId="11" fillId="0" borderId="10" xfId="53" applyFont="1" applyFill="1" applyBorder="1" applyAlignment="1">
      <alignment horizontal="center" vertical="center" wrapText="1"/>
    </xf>
    <xf numFmtId="0" fontId="11" fillId="0" borderId="0" xfId="53" applyNumberFormat="1" applyFont="1" applyFill="1" applyBorder="1" applyAlignment="1">
      <alignment horizontal="left"/>
    </xf>
    <xf numFmtId="0" fontId="11" fillId="0" borderId="0" xfId="53" applyNumberFormat="1" applyFont="1" applyFill="1" applyBorder="1" applyAlignment="1">
      <alignment vertical="center"/>
    </xf>
    <xf numFmtId="0" fontId="11" fillId="0" borderId="0" xfId="53" applyNumberFormat="1" applyFont="1" applyFill="1" applyBorder="1" applyAlignment="1">
      <alignment vertical="top" wrapText="1"/>
    </xf>
    <xf numFmtId="0" fontId="11" fillId="0" borderId="0" xfId="53" applyNumberFormat="1" applyFont="1" applyFill="1" applyBorder="1" applyAlignment="1">
      <alignment horizontal="left" vertical="center"/>
    </xf>
    <xf numFmtId="0" fontId="36" fillId="0" borderId="10" xfId="66" applyFont="1" applyFill="1" applyBorder="1" applyAlignment="1">
      <alignment horizontal="center" vertical="center" wrapText="1"/>
    </xf>
    <xf numFmtId="0" fontId="36" fillId="0" borderId="11" xfId="66" applyFont="1" applyFill="1" applyBorder="1" applyAlignment="1">
      <alignment horizontal="center" vertical="center" wrapText="1"/>
    </xf>
    <xf numFmtId="0" fontId="70" fillId="0" borderId="11" xfId="66" applyFont="1" applyFill="1" applyBorder="1" applyAlignment="1">
      <alignment horizontal="center" vertical="center" wrapText="1"/>
    </xf>
    <xf numFmtId="2" fontId="70" fillId="0" borderId="11" xfId="66" applyNumberFormat="1" applyFont="1" applyFill="1" applyBorder="1" applyAlignment="1">
      <alignment horizontal="center" vertical="center" wrapText="1"/>
    </xf>
    <xf numFmtId="0" fontId="63" fillId="0" borderId="10" xfId="66" applyFont="1" applyFill="1" applyBorder="1" applyAlignment="1">
      <alignment horizontal="center" vertical="center"/>
    </xf>
    <xf numFmtId="0" fontId="57" fillId="0" borderId="10" xfId="66" applyFont="1" applyFill="1" applyBorder="1" applyAlignment="1">
      <alignment horizontal="center" vertical="center"/>
    </xf>
    <xf numFmtId="0" fontId="57" fillId="0" borderId="11" xfId="66" applyFont="1" applyFill="1" applyBorder="1" applyAlignment="1">
      <alignment horizontal="center" vertical="center"/>
    </xf>
    <xf numFmtId="0" fontId="59" fillId="0" borderId="10" xfId="66" applyFill="1" applyBorder="1"/>
    <xf numFmtId="0" fontId="60" fillId="0" borderId="11" xfId="66" applyFont="1" applyFill="1" applyBorder="1" applyAlignment="1">
      <alignment horizontal="left" vertical="center" wrapText="1"/>
    </xf>
    <xf numFmtId="2" fontId="60" fillId="0" borderId="10" xfId="66" applyNumberFormat="1" applyFont="1" applyFill="1" applyBorder="1" applyAlignment="1">
      <alignment horizontal="left" vertical="center"/>
    </xf>
    <xf numFmtId="0" fontId="11" fillId="0" borderId="10" xfId="53" applyFont="1" applyFill="1" applyBorder="1" applyAlignment="1">
      <alignment horizontal="left" vertical="center" wrapText="1"/>
    </xf>
    <xf numFmtId="0" fontId="11" fillId="0" borderId="10" xfId="53" applyFont="1" applyFill="1" applyBorder="1" applyAlignment="1">
      <alignment horizontal="center" vertical="center"/>
    </xf>
    <xf numFmtId="14" fontId="60" fillId="0" borderId="10" xfId="65" applyNumberFormat="1" applyFont="1" applyFill="1" applyBorder="1" applyAlignment="1">
      <alignment horizontal="center" vertical="center" wrapText="1"/>
    </xf>
    <xf numFmtId="0" fontId="38" fillId="0" borderId="10" xfId="55" applyFont="1" applyFill="1" applyBorder="1" applyAlignment="1">
      <alignment horizontal="justify"/>
    </xf>
    <xf numFmtId="0" fontId="38" fillId="0" borderId="10" xfId="55" applyFont="1" applyFill="1" applyBorder="1" applyAlignment="1">
      <alignment vertical="top" wrapText="1"/>
    </xf>
    <xf numFmtId="0" fontId="38" fillId="0" borderId="10" xfId="55" applyFont="1" applyFill="1" applyBorder="1" applyAlignment="1">
      <alignment horizontal="justify" vertical="top" wrapText="1"/>
    </xf>
    <xf numFmtId="0" fontId="37" fillId="0" borderId="10" xfId="55" applyFont="1" applyFill="1" applyBorder="1" applyAlignment="1">
      <alignment horizontal="justify" vertical="top" wrapText="1"/>
    </xf>
    <xf numFmtId="0" fontId="38" fillId="0" borderId="10" xfId="55" applyFont="1" applyFill="1" applyBorder="1" applyAlignment="1">
      <alignment horizontal="left" vertical="center" wrapText="1"/>
    </xf>
    <xf numFmtId="0" fontId="38" fillId="0" borderId="10" xfId="55" applyFont="1" applyFill="1" applyBorder="1" applyAlignment="1">
      <alignment horizontal="center" vertical="center" wrapText="1"/>
    </xf>
    <xf numFmtId="0" fontId="37" fillId="0" borderId="10" xfId="55" applyFont="1" applyFill="1" applyBorder="1"/>
    <xf numFmtId="0" fontId="5" fillId="0" borderId="0" xfId="66" applyFont="1" applyFill="1" applyAlignment="1">
      <alignment horizontal="center" vertical="center"/>
    </xf>
    <xf numFmtId="0" fontId="4" fillId="0" borderId="0" xfId="66" applyFont="1" applyFill="1" applyBorder="1" applyAlignment="1">
      <alignment horizontal="center" vertical="center"/>
    </xf>
    <xf numFmtId="0" fontId="39" fillId="0" borderId="10" xfId="55" applyFont="1" applyFill="1" applyBorder="1" applyAlignment="1">
      <alignment horizontal="center" vertical="center" wrapText="1"/>
    </xf>
    <xf numFmtId="0" fontId="11" fillId="0" borderId="0" xfId="55" applyFont="1" applyFill="1" applyAlignment="1">
      <alignment horizontal="center"/>
    </xf>
    <xf numFmtId="0" fontId="39" fillId="0" borderId="13" xfId="55" applyFont="1" applyFill="1" applyBorder="1" applyAlignment="1">
      <alignment horizontal="center" vertical="center" wrapText="1"/>
    </xf>
    <xf numFmtId="0" fontId="11" fillId="0" borderId="13" xfId="55" applyFont="1" applyFill="1" applyBorder="1" applyAlignment="1">
      <alignment horizontal="center" vertical="center" wrapText="1"/>
    </xf>
    <xf numFmtId="49" fontId="60" fillId="0" borderId="11" xfId="66" applyNumberFormat="1" applyFont="1" applyFill="1" applyBorder="1" applyAlignment="1">
      <alignment horizontal="center" vertical="center"/>
    </xf>
    <xf numFmtId="49" fontId="60" fillId="0" borderId="18" xfId="66" applyNumberFormat="1" applyFont="1" applyFill="1" applyBorder="1" applyAlignment="1">
      <alignment horizontal="center" vertical="center"/>
    </xf>
    <xf numFmtId="49" fontId="60" fillId="0" borderId="15" xfId="66"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66" applyFont="1" applyFill="1" applyAlignment="1">
      <alignment horizontal="center" vertical="center"/>
    </xf>
    <xf numFmtId="0" fontId="71" fillId="0" borderId="0" xfId="66" applyFont="1" applyFill="1" applyAlignment="1">
      <alignment horizontal="center" vertical="center" wrapText="1"/>
    </xf>
    <xf numFmtId="0" fontId="71" fillId="0" borderId="0" xfId="66" applyFont="1" applyFill="1" applyAlignment="1">
      <alignment horizontal="center" vertical="center"/>
    </xf>
    <xf numFmtId="0" fontId="5" fillId="0" borderId="0" xfId="66" applyFont="1" applyFill="1" applyAlignment="1">
      <alignment horizontal="center" vertical="center"/>
    </xf>
    <xf numFmtId="0" fontId="47" fillId="0" borderId="0" xfId="66" applyFont="1" applyFill="1" applyAlignment="1">
      <alignment horizontal="center" vertical="center"/>
    </xf>
    <xf numFmtId="0" fontId="7" fillId="0" borderId="0" xfId="66" applyFont="1" applyFill="1" applyAlignment="1">
      <alignment horizontal="center" vertical="center"/>
    </xf>
    <xf numFmtId="0" fontId="47" fillId="0" borderId="0" xfId="66" applyFont="1" applyFill="1" applyAlignment="1">
      <alignment horizontal="center" vertical="center" wrapText="1"/>
    </xf>
    <xf numFmtId="0" fontId="4" fillId="0" borderId="0" xfId="66" applyFont="1" applyFill="1" applyAlignment="1">
      <alignment horizontal="center" vertical="center"/>
    </xf>
    <xf numFmtId="0" fontId="8" fillId="0" borderId="0" xfId="66" applyFont="1" applyFill="1" applyAlignment="1">
      <alignment horizontal="center" vertical="center" wrapText="1"/>
    </xf>
    <xf numFmtId="0" fontId="36" fillId="0" borderId="10" xfId="66" applyFont="1" applyFill="1" applyBorder="1" applyAlignment="1">
      <alignment horizontal="center" vertical="center" wrapText="1"/>
    </xf>
    <xf numFmtId="0" fontId="36" fillId="0" borderId="13" xfId="66" applyFont="1" applyFill="1" applyBorder="1" applyAlignment="1">
      <alignment horizontal="center" vertical="center" wrapText="1"/>
    </xf>
    <xf numFmtId="0" fontId="36" fillId="0" borderId="14" xfId="66" applyFont="1" applyFill="1" applyBorder="1" applyAlignment="1">
      <alignment horizontal="center" vertical="center" wrapText="1"/>
    </xf>
    <xf numFmtId="0" fontId="5" fillId="0" borderId="10" xfId="66" applyFont="1" applyFill="1" applyBorder="1" applyAlignment="1">
      <alignment horizontal="center" vertical="center" wrapText="1"/>
    </xf>
    <xf numFmtId="0" fontId="7" fillId="0" borderId="19" xfId="66" applyFont="1" applyFill="1" applyBorder="1" applyAlignment="1">
      <alignment vertical="center"/>
    </xf>
    <xf numFmtId="0" fontId="9" fillId="0" borderId="0" xfId="66" applyFont="1" applyFill="1" applyAlignment="1">
      <alignment horizontal="center" vertical="center"/>
    </xf>
    <xf numFmtId="0" fontId="4" fillId="0" borderId="0" xfId="66" applyFont="1" applyFill="1" applyBorder="1" applyAlignment="1">
      <alignment horizontal="center" vertical="center"/>
    </xf>
    <xf numFmtId="49" fontId="11" fillId="0" borderId="0" xfId="53" applyNumberFormat="1" applyFont="1" applyFill="1" applyBorder="1" applyAlignment="1">
      <alignment horizontal="left" vertical="top"/>
    </xf>
    <xf numFmtId="0" fontId="8" fillId="0" borderId="0" xfId="66" applyFont="1" applyFill="1" applyAlignment="1">
      <alignment horizontal="center" vertical="center"/>
    </xf>
    <xf numFmtId="0" fontId="11" fillId="0" borderId="19" xfId="53" applyFont="1" applyFill="1" applyBorder="1" applyAlignment="1">
      <alignment horizontal="left" vertical="center"/>
    </xf>
    <xf numFmtId="0" fontId="39" fillId="0" borderId="13" xfId="53" applyFont="1" applyFill="1" applyBorder="1" applyAlignment="1">
      <alignment horizontal="center" vertical="center"/>
    </xf>
    <xf numFmtId="0" fontId="39" fillId="0" borderId="12" xfId="53" applyFont="1" applyFill="1" applyBorder="1" applyAlignment="1">
      <alignment horizontal="center" vertical="center"/>
    </xf>
    <xf numFmtId="0" fontId="39" fillId="0" borderId="14" xfId="53" applyFont="1" applyFill="1" applyBorder="1" applyAlignment="1">
      <alignment horizontal="center" vertical="center"/>
    </xf>
    <xf numFmtId="0" fontId="39" fillId="0" borderId="20" xfId="53" applyFont="1" applyFill="1" applyBorder="1" applyAlignment="1">
      <alignment horizontal="center" vertical="center" wrapText="1"/>
    </xf>
    <xf numFmtId="0" fontId="39" fillId="0" borderId="21" xfId="53" applyFont="1" applyFill="1" applyBorder="1" applyAlignment="1">
      <alignment horizontal="center" vertical="center" wrapText="1"/>
    </xf>
    <xf numFmtId="0" fontId="39" fillId="0" borderId="22" xfId="53" applyFont="1" applyFill="1" applyBorder="1" applyAlignment="1">
      <alignment horizontal="center" vertical="center" wrapText="1"/>
    </xf>
    <xf numFmtId="0" fontId="39" fillId="0" borderId="23" xfId="53" applyFont="1" applyFill="1" applyBorder="1" applyAlignment="1">
      <alignment horizontal="center" vertical="center" wrapText="1"/>
    </xf>
    <xf numFmtId="0" fontId="39" fillId="0" borderId="13" xfId="53" applyFont="1" applyFill="1" applyBorder="1" applyAlignment="1">
      <alignment horizontal="center" vertical="center" wrapText="1"/>
    </xf>
    <xf numFmtId="0" fontId="39" fillId="0" borderId="12" xfId="53" applyFont="1" applyFill="1" applyBorder="1" applyAlignment="1">
      <alignment horizontal="center" vertical="center" wrapText="1"/>
    </xf>
    <xf numFmtId="0" fontId="39" fillId="0" borderId="14" xfId="53" applyFont="1" applyFill="1" applyBorder="1" applyAlignment="1">
      <alignment horizontal="center" vertical="center" wrapText="1"/>
    </xf>
    <xf numFmtId="0" fontId="39" fillId="0" borderId="11" xfId="53" applyFont="1" applyFill="1" applyBorder="1" applyAlignment="1">
      <alignment horizontal="center" vertical="center" wrapText="1"/>
    </xf>
    <xf numFmtId="0" fontId="39" fillId="0" borderId="15" xfId="53" applyFont="1" applyFill="1" applyBorder="1" applyAlignment="1">
      <alignment horizontal="center" vertical="center" wrapText="1"/>
    </xf>
    <xf numFmtId="0" fontId="39" fillId="0" borderId="18" xfId="53" applyFont="1" applyFill="1" applyBorder="1" applyAlignment="1">
      <alignment horizontal="center" vertical="center" wrapText="1"/>
    </xf>
    <xf numFmtId="0" fontId="64" fillId="0" borderId="0" xfId="65" applyFont="1" applyFill="1" applyAlignment="1">
      <alignment horizontal="center"/>
    </xf>
    <xf numFmtId="0" fontId="61" fillId="0" borderId="0" xfId="66" applyFont="1" applyFill="1" applyAlignment="1">
      <alignment horizontal="center" vertical="center"/>
    </xf>
    <xf numFmtId="0" fontId="69" fillId="0" borderId="0" xfId="66" applyFont="1" applyFill="1" applyAlignment="1">
      <alignment horizontal="center" vertical="center"/>
    </xf>
    <xf numFmtId="0" fontId="63" fillId="0" borderId="0" xfId="66" applyFont="1" applyFill="1" applyBorder="1" applyAlignment="1">
      <alignment horizontal="center" vertical="center"/>
    </xf>
    <xf numFmtId="0" fontId="69" fillId="0" borderId="0" xfId="66" applyFont="1" applyFill="1" applyAlignment="1">
      <alignment horizontal="center" vertical="center" wrapText="1"/>
    </xf>
    <xf numFmtId="0" fontId="57" fillId="0" borderId="11"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65" fillId="0" borderId="0" xfId="65" applyFont="1" applyFill="1" applyAlignment="1">
      <alignment horizontal="center"/>
    </xf>
    <xf numFmtId="0" fontId="63" fillId="0" borderId="0" xfId="66" applyFont="1" applyFill="1" applyAlignment="1">
      <alignment horizontal="center" vertical="center"/>
    </xf>
    <xf numFmtId="0" fontId="61" fillId="0" borderId="0" xfId="66" applyFont="1" applyFill="1" applyAlignment="1">
      <alignment horizontal="center" vertical="center" wrapText="1"/>
    </xf>
    <xf numFmtId="0" fontId="70" fillId="0" borderId="10" xfId="66" applyFont="1" applyFill="1" applyBorder="1" applyAlignment="1">
      <alignment horizontal="center" vertical="center" wrapText="1"/>
    </xf>
    <xf numFmtId="0" fontId="70" fillId="0" borderId="11" xfId="66" applyFont="1" applyFill="1" applyBorder="1" applyAlignment="1">
      <alignment horizontal="center" vertical="center" wrapText="1"/>
    </xf>
    <xf numFmtId="0" fontId="70" fillId="0" borderId="18" xfId="66" applyFont="1" applyFill="1" applyBorder="1" applyAlignment="1">
      <alignment horizontal="center" vertical="center" wrapText="1"/>
    </xf>
    <xf numFmtId="0" fontId="70" fillId="0" borderId="15" xfId="66" applyFont="1" applyFill="1" applyBorder="1" applyAlignment="1">
      <alignment horizontal="center" vertical="center" wrapText="1"/>
    </xf>
    <xf numFmtId="0" fontId="70" fillId="0" borderId="24" xfId="55" applyFont="1" applyFill="1" applyBorder="1" applyAlignment="1">
      <alignment horizontal="center" vertical="center" wrapText="1"/>
    </xf>
    <xf numFmtId="0" fontId="70" fillId="0" borderId="25" xfId="55" applyFont="1" applyFill="1" applyBorder="1" applyAlignment="1">
      <alignment horizontal="center" vertical="center" wrapText="1"/>
    </xf>
    <xf numFmtId="0" fontId="70" fillId="0" borderId="26" xfId="55" applyFont="1" applyFill="1" applyBorder="1" applyAlignment="1">
      <alignment horizontal="center" vertical="center" wrapText="1"/>
    </xf>
    <xf numFmtId="0" fontId="70" fillId="0" borderId="27" xfId="55" applyFont="1" applyFill="1" applyBorder="1" applyAlignment="1">
      <alignment horizontal="center" vertical="center" wrapText="1"/>
    </xf>
    <xf numFmtId="0" fontId="70" fillId="0" borderId="10" xfId="55" applyFont="1" applyFill="1" applyBorder="1" applyAlignment="1">
      <alignment horizontal="center" vertical="center" wrapText="1"/>
    </xf>
    <xf numFmtId="0" fontId="70" fillId="0" borderId="28" xfId="55" applyFont="1" applyFill="1" applyBorder="1" applyAlignment="1">
      <alignment horizontal="center" vertical="center" wrapText="1"/>
    </xf>
    <xf numFmtId="0" fontId="39" fillId="0" borderId="10" xfId="55" applyFont="1" applyFill="1" applyBorder="1" applyAlignment="1">
      <alignment horizontal="center" vertical="center" wrapText="1"/>
    </xf>
    <xf numFmtId="0" fontId="39" fillId="0" borderId="22" xfId="55" applyFont="1" applyFill="1" applyBorder="1" applyAlignment="1">
      <alignment horizontal="center" vertical="center" wrapText="1"/>
    </xf>
    <xf numFmtId="0" fontId="39" fillId="0" borderId="23" xfId="55" applyFont="1" applyFill="1" applyBorder="1" applyAlignment="1">
      <alignment horizontal="center" vertical="center" wrapText="1"/>
    </xf>
    <xf numFmtId="0" fontId="39" fillId="0" borderId="14" xfId="55" applyFont="1" applyFill="1" applyBorder="1" applyAlignment="1">
      <alignment horizontal="center" vertical="center" wrapText="1"/>
    </xf>
    <xf numFmtId="0" fontId="39" fillId="0" borderId="13" xfId="55" applyNumberFormat="1" applyFont="1" applyFill="1" applyBorder="1" applyAlignment="1">
      <alignment horizontal="center" vertical="center" wrapText="1"/>
    </xf>
    <xf numFmtId="0" fontId="39" fillId="0" borderId="12" xfId="55" applyNumberFormat="1" applyFont="1" applyFill="1" applyBorder="1" applyAlignment="1">
      <alignment horizontal="center" vertical="center" wrapText="1"/>
    </xf>
    <xf numFmtId="0" fontId="39" fillId="0" borderId="14" xfId="55" applyNumberFormat="1" applyFont="1" applyFill="1" applyBorder="1" applyAlignment="1">
      <alignment horizontal="center" vertical="center" wrapText="1"/>
    </xf>
    <xf numFmtId="0" fontId="39" fillId="0" borderId="0" xfId="55" applyFont="1" applyFill="1" applyAlignment="1">
      <alignment horizontal="center" vertical="top" wrapText="1"/>
    </xf>
    <xf numFmtId="0" fontId="39" fillId="0" borderId="10" xfId="55" applyFont="1" applyFill="1" applyBorder="1" applyAlignment="1">
      <alignment horizontal="center" vertical="center"/>
    </xf>
    <xf numFmtId="0" fontId="39" fillId="0" borderId="10" xfId="55" applyNumberFormat="1" applyFont="1" applyFill="1" applyBorder="1" applyAlignment="1">
      <alignment horizontal="center" vertical="center" wrapText="1"/>
    </xf>
    <xf numFmtId="0" fontId="39" fillId="0" borderId="10" xfId="0" applyFont="1" applyFill="1" applyBorder="1" applyAlignment="1">
      <alignment horizontal="center" vertical="center" wrapText="1"/>
    </xf>
    <xf numFmtId="0" fontId="11" fillId="0" borderId="0" xfId="55" applyFont="1" applyFill="1" applyAlignment="1">
      <alignment horizontal="left" vertical="center" wrapText="1"/>
    </xf>
    <xf numFmtId="0" fontId="11" fillId="0" borderId="0" xfId="55" applyFont="1" applyFill="1" applyAlignment="1">
      <alignment horizontal="left" wrapText="1"/>
    </xf>
    <xf numFmtId="0" fontId="11" fillId="0" borderId="0" xfId="55" applyFont="1" applyFill="1" applyBorder="1" applyAlignment="1">
      <alignment horizontal="left" wrapText="1"/>
    </xf>
    <xf numFmtId="0" fontId="11" fillId="0" borderId="0" xfId="55" applyFont="1" applyFill="1" applyBorder="1" applyAlignment="1">
      <alignment horizontal="left"/>
    </xf>
    <xf numFmtId="0" fontId="39" fillId="0" borderId="0" xfId="55" applyFont="1" applyFill="1" applyAlignment="1">
      <alignment horizontal="center"/>
    </xf>
    <xf numFmtId="0" fontId="39" fillId="0" borderId="13" xfId="55" applyFont="1" applyFill="1" applyBorder="1" applyAlignment="1">
      <alignment horizontal="center" vertical="center" wrapText="1"/>
    </xf>
    <xf numFmtId="0" fontId="39" fillId="0" borderId="12" xfId="55" applyFont="1" applyFill="1" applyBorder="1" applyAlignment="1">
      <alignment horizontal="center" vertical="center" wrapText="1"/>
    </xf>
    <xf numFmtId="0" fontId="39" fillId="0" borderId="10" xfId="69" applyFont="1" applyFill="1" applyBorder="1" applyAlignment="1">
      <alignment horizontal="center" vertical="center"/>
    </xf>
    <xf numFmtId="0" fontId="11" fillId="0" borderId="0" xfId="55" applyFont="1" applyFill="1" applyAlignment="1">
      <alignment horizontal="center"/>
    </xf>
    <xf numFmtId="0" fontId="48" fillId="0" borderId="0" xfId="65" applyFont="1" applyFill="1" applyAlignment="1">
      <alignment horizontal="center"/>
    </xf>
    <xf numFmtId="0" fontId="35" fillId="0" borderId="19" xfId="65" applyFont="1" applyFill="1" applyBorder="1" applyAlignment="1">
      <alignment horizontal="center"/>
    </xf>
    <xf numFmtId="0" fontId="36" fillId="0" borderId="13" xfId="65" applyFont="1" applyFill="1" applyBorder="1" applyAlignment="1">
      <alignment horizontal="center" vertical="center" wrapText="1"/>
    </xf>
    <xf numFmtId="0" fontId="36" fillId="0" borderId="12" xfId="65" applyFont="1" applyFill="1" applyBorder="1" applyAlignment="1">
      <alignment horizontal="center" vertical="center" wrapText="1"/>
    </xf>
    <xf numFmtId="0" fontId="36" fillId="0" borderId="14" xfId="65" applyFont="1" applyFill="1" applyBorder="1" applyAlignment="1">
      <alignment horizontal="center" vertical="center" wrapText="1"/>
    </xf>
    <xf numFmtId="0" fontId="36" fillId="0" borderId="20" xfId="65" applyFont="1" applyFill="1" applyBorder="1" applyAlignment="1">
      <alignment horizontal="center" vertical="center" wrapText="1"/>
    </xf>
    <xf numFmtId="0" fontId="36" fillId="0" borderId="29" xfId="65" applyFont="1" applyFill="1" applyBorder="1" applyAlignment="1">
      <alignment horizontal="center" vertical="center" wrapText="1"/>
    </xf>
    <xf numFmtId="0" fontId="36" fillId="0" borderId="22" xfId="65" applyFont="1" applyFill="1" applyBorder="1" applyAlignment="1">
      <alignment horizontal="center" vertical="center" wrapText="1"/>
    </xf>
    <xf numFmtId="0" fontId="36" fillId="0" borderId="11" xfId="65" applyFont="1" applyFill="1" applyBorder="1" applyAlignment="1">
      <alignment horizontal="center" vertical="center" wrapText="1"/>
    </xf>
    <xf numFmtId="0" fontId="36" fillId="0" borderId="18" xfId="65" applyFont="1" applyFill="1" applyBorder="1" applyAlignment="1">
      <alignment horizontal="center" vertical="center" wrapText="1"/>
    </xf>
    <xf numFmtId="0" fontId="36" fillId="0" borderId="15" xfId="65" applyFont="1" applyFill="1" applyBorder="1" applyAlignment="1">
      <alignment horizontal="center" vertical="center" wrapText="1"/>
    </xf>
    <xf numFmtId="0" fontId="36" fillId="0" borderId="10" xfId="65" applyFont="1" applyFill="1" applyBorder="1" applyAlignment="1">
      <alignment horizontal="center" vertical="center" wrapText="1"/>
    </xf>
    <xf numFmtId="0" fontId="49" fillId="0" borderId="10" xfId="65" applyFont="1" applyFill="1" applyBorder="1" applyAlignment="1">
      <alignment horizontal="center" vertical="center" wrapText="1"/>
    </xf>
    <xf numFmtId="0" fontId="35" fillId="0" borderId="10" xfId="65" applyFont="1" applyFill="1" applyBorder="1" applyAlignment="1">
      <alignment horizontal="center" vertical="center" wrapText="1"/>
    </xf>
    <xf numFmtId="0" fontId="39" fillId="0" borderId="13" xfId="65" applyFont="1" applyFill="1" applyBorder="1" applyAlignment="1" applyProtection="1">
      <alignment horizontal="center" vertical="center" wrapText="1"/>
    </xf>
    <xf numFmtId="0" fontId="39" fillId="0" borderId="14" xfId="65" applyFont="1" applyFill="1" applyBorder="1" applyAlignment="1" applyProtection="1">
      <alignment horizontal="center" vertical="center" wrapText="1"/>
    </xf>
    <xf numFmtId="0" fontId="39" fillId="0" borderId="13" xfId="55" applyFont="1" applyFill="1" applyBorder="1" applyAlignment="1">
      <alignment horizontal="center" vertical="center" textRotation="90" wrapText="1"/>
    </xf>
    <xf numFmtId="0" fontId="39" fillId="0" borderId="14" xfId="55" applyFont="1" applyFill="1" applyBorder="1" applyAlignment="1">
      <alignment horizontal="center" vertical="center" textRotation="90" wrapText="1"/>
    </xf>
    <xf numFmtId="0" fontId="36" fillId="0" borderId="13" xfId="61" applyFont="1" applyFill="1" applyBorder="1" applyAlignment="1">
      <alignment horizontal="center" vertical="center" textRotation="90" wrapText="1"/>
    </xf>
    <xf numFmtId="0" fontId="36" fillId="0" borderId="14" xfId="61" applyFont="1" applyFill="1" applyBorder="1" applyAlignment="1">
      <alignment horizontal="center" vertical="center" textRotation="90" wrapText="1"/>
    </xf>
    <xf numFmtId="0" fontId="36" fillId="0" borderId="13" xfId="65" applyFont="1" applyFill="1" applyBorder="1" applyAlignment="1">
      <alignment horizontal="center" vertical="center"/>
    </xf>
    <xf numFmtId="0" fontId="36" fillId="0" borderId="14" xfId="65" applyFont="1" applyFill="1" applyBorder="1" applyAlignment="1">
      <alignment horizontal="center" vertical="center"/>
    </xf>
    <xf numFmtId="0" fontId="36" fillId="0" borderId="10" xfId="65" applyFont="1" applyFill="1" applyBorder="1" applyAlignment="1">
      <alignment horizontal="center" vertical="center" textRotation="90" wrapText="1"/>
    </xf>
    <xf numFmtId="0" fontId="39" fillId="0" borderId="10" xfId="65" applyFont="1" applyFill="1" applyBorder="1" applyAlignment="1" applyProtection="1">
      <alignment horizontal="center" vertical="center" textRotation="90" wrapText="1"/>
    </xf>
    <xf numFmtId="0" fontId="36" fillId="0" borderId="13" xfId="65" applyFont="1" applyFill="1" applyBorder="1" applyAlignment="1">
      <alignment horizontal="center" vertical="center" textRotation="90" wrapText="1"/>
    </xf>
    <xf numFmtId="0" fontId="36" fillId="0" borderId="14" xfId="65" applyFont="1" applyFill="1" applyBorder="1" applyAlignment="1">
      <alignment horizontal="center" vertical="center" textRotation="90" wrapText="1"/>
    </xf>
    <xf numFmtId="0" fontId="38" fillId="0" borderId="0" xfId="55" applyFont="1" applyFill="1" applyAlignment="1">
      <alignment horizontal="center" wrapText="1"/>
    </xf>
    <xf numFmtId="0" fontId="38" fillId="0" borderId="0" xfId="55" applyFont="1" applyFill="1" applyAlignment="1">
      <alignment horizontal="center"/>
    </xf>
    <xf numFmtId="0" fontId="44" fillId="0" borderId="0" xfId="55" applyFont="1" applyFill="1" applyAlignment="1">
      <alignment horizontal="center"/>
    </xf>
  </cellXfs>
  <cellStyles count="86">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60% - Акцент1 2" xfId="25"/>
    <cellStyle name="60% - Акцент2 2" xfId="26"/>
    <cellStyle name="60% - Акцент3 2" xfId="27"/>
    <cellStyle name="60% - Акцент4 2" xfId="28"/>
    <cellStyle name="60% - Акцент5 2" xfId="29"/>
    <cellStyle name="60% - Акцент6 2" xfId="30"/>
    <cellStyle name="Normal 2" xfId="31"/>
    <cellStyle name="Акцент1 2" xfId="32"/>
    <cellStyle name="Акцент2 2" xfId="33"/>
    <cellStyle name="Акцент3 2" xfId="34"/>
    <cellStyle name="Акцент4 2" xfId="35"/>
    <cellStyle name="Акцент5 2" xfId="36"/>
    <cellStyle name="Акцент6 2" xfId="37"/>
    <cellStyle name="Ввод  2" xfId="38"/>
    <cellStyle name="Вывод 2" xfId="39"/>
    <cellStyle name="Вычисление 2" xfId="40"/>
    <cellStyle name="Заголовок 1 2" xfId="41"/>
    <cellStyle name="Заголовок 2 2" xfId="42"/>
    <cellStyle name="Заголовок 3 2" xfId="43"/>
    <cellStyle name="Заголовок 4 2" xfId="44"/>
    <cellStyle name="Итог 2" xfId="45"/>
    <cellStyle name="Итог 2 2" xfId="46"/>
    <cellStyle name="Контрольная ячейка 2" xfId="47"/>
    <cellStyle name="Название 2" xfId="48"/>
    <cellStyle name="Нейтральный 2" xfId="49"/>
    <cellStyle name="Обычный" xfId="0" builtinId="0"/>
    <cellStyle name="Обычный 11" xfId="50"/>
    <cellStyle name="Обычный 12 2" xfId="51"/>
    <cellStyle name="Обычный 2" xfId="52"/>
    <cellStyle name="Обычный 2 2" xfId="53"/>
    <cellStyle name="Обычный 2 3" xfId="54"/>
    <cellStyle name="Обычный 3" xfId="55"/>
    <cellStyle name="Обычный 3 2" xfId="56"/>
    <cellStyle name="Обычный 3 2 2 2" xfId="57"/>
    <cellStyle name="Обычный 3 21" xfId="58"/>
    <cellStyle name="Обычный 4" xfId="59"/>
    <cellStyle name="Обычный 4 2" xfId="60"/>
    <cellStyle name="Обычный 5" xfId="61"/>
    <cellStyle name="Обычный 6" xfId="62"/>
    <cellStyle name="Обычный 6 2" xfId="63"/>
    <cellStyle name="Обычный 6 2 2" xfId="64"/>
    <cellStyle name="Обычный 6 2 3" xfId="65"/>
    <cellStyle name="Обычный 7" xfId="66"/>
    <cellStyle name="Обычный 7 2" xfId="67"/>
    <cellStyle name="Обычный 8" xfId="68"/>
    <cellStyle name="Обычный_Форматы по компаниям_last" xfId="69"/>
    <cellStyle name="Плохой 2" xfId="70"/>
    <cellStyle name="Пояснение 2" xfId="71"/>
    <cellStyle name="Примечание 2" xfId="72"/>
    <cellStyle name="Примечание 2 2" xfId="73"/>
    <cellStyle name="Процентный 2" xfId="74"/>
    <cellStyle name="Процентный 3" xfId="75"/>
    <cellStyle name="Процентный 4" xfId="76"/>
    <cellStyle name="Связанная ячейка 2" xfId="77"/>
    <cellStyle name="Стиль 1" xfId="78"/>
    <cellStyle name="Текст предупреждения 2" xfId="79"/>
    <cellStyle name="Финансовый 2" xfId="80"/>
    <cellStyle name="Финансовый 2 2" xfId="81"/>
    <cellStyle name="Финансовый 2 2 2 2 2" xfId="82"/>
    <cellStyle name="Финансовый 3" xfId="83"/>
    <cellStyle name="Финансовый 3 2" xfId="84"/>
    <cellStyle name="Хороший 2" xfId="8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70" zoomScaleNormal="100" zoomScaleSheetLayoutView="70" workbookViewId="0">
      <selection activeCell="A15" sqref="A15:C15"/>
    </sheetView>
  </sheetViews>
  <sheetFormatPr defaultRowHeight="15" x14ac:dyDescent="0.25"/>
  <cols>
    <col min="1" max="1" width="6.140625" style="122" customWidth="1"/>
    <col min="2" max="2" width="53.5703125" style="122" customWidth="1"/>
    <col min="3" max="3" width="90.4257812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2" customFormat="1" ht="18.75" customHeight="1" x14ac:dyDescent="0.2">
      <c r="A1" s="45"/>
      <c r="C1" s="47" t="s">
        <v>22</v>
      </c>
    </row>
    <row r="2" spans="1:22" s="2" customFormat="1" ht="18.75" customHeight="1" x14ac:dyDescent="0.3">
      <c r="A2" s="45"/>
      <c r="C2" s="48" t="s">
        <v>6</v>
      </c>
    </row>
    <row r="3" spans="1:22" s="2" customFormat="1" ht="18.75" x14ac:dyDescent="0.3">
      <c r="A3" s="131"/>
      <c r="C3" s="48" t="s">
        <v>21</v>
      </c>
    </row>
    <row r="4" spans="1:22" s="2" customFormat="1" ht="18.75" x14ac:dyDescent="0.3">
      <c r="A4" s="131"/>
      <c r="H4" s="48"/>
    </row>
    <row r="5" spans="1:22" s="2" customFormat="1" ht="15.75" x14ac:dyDescent="0.25">
      <c r="A5" s="193" t="s">
        <v>477</v>
      </c>
      <c r="B5" s="193"/>
      <c r="C5" s="193"/>
      <c r="D5" s="33"/>
      <c r="E5" s="33"/>
      <c r="F5" s="33"/>
      <c r="G5" s="33"/>
      <c r="H5" s="33"/>
      <c r="I5" s="33"/>
      <c r="J5" s="33"/>
    </row>
    <row r="6" spans="1:22" s="2" customFormat="1" ht="18.75" x14ac:dyDescent="0.3">
      <c r="A6" s="131"/>
      <c r="H6" s="48"/>
    </row>
    <row r="7" spans="1:22" s="2" customFormat="1" ht="18.75" x14ac:dyDescent="0.2">
      <c r="A7" s="197" t="s">
        <v>5</v>
      </c>
      <c r="B7" s="197"/>
      <c r="C7" s="197"/>
      <c r="D7" s="79"/>
      <c r="E7" s="79"/>
      <c r="F7" s="79"/>
      <c r="G7" s="79"/>
      <c r="H7" s="79"/>
      <c r="I7" s="79"/>
      <c r="J7" s="79"/>
      <c r="K7" s="79"/>
      <c r="L7" s="79"/>
      <c r="M7" s="79"/>
      <c r="N7" s="79"/>
      <c r="O7" s="79"/>
      <c r="P7" s="79"/>
      <c r="Q7" s="79"/>
      <c r="R7" s="79"/>
      <c r="S7" s="79"/>
      <c r="T7" s="79"/>
      <c r="U7" s="79"/>
      <c r="V7" s="79"/>
    </row>
    <row r="8" spans="1:22" s="2" customFormat="1" ht="18.75" x14ac:dyDescent="0.2">
      <c r="A8" s="80"/>
      <c r="B8" s="80"/>
      <c r="C8" s="80"/>
      <c r="D8" s="80"/>
      <c r="E8" s="80"/>
      <c r="F8" s="80"/>
      <c r="G8" s="80"/>
      <c r="H8" s="80"/>
      <c r="I8" s="79"/>
      <c r="J8" s="79"/>
      <c r="K8" s="79"/>
      <c r="L8" s="79"/>
      <c r="M8" s="79"/>
      <c r="N8" s="79"/>
      <c r="O8" s="79"/>
      <c r="P8" s="79"/>
      <c r="Q8" s="79"/>
      <c r="R8" s="79"/>
      <c r="S8" s="79"/>
      <c r="T8" s="79"/>
      <c r="U8" s="79"/>
      <c r="V8" s="79"/>
    </row>
    <row r="9" spans="1:22" s="2" customFormat="1" ht="18.75" x14ac:dyDescent="0.2">
      <c r="A9" s="198" t="s">
        <v>286</v>
      </c>
      <c r="B9" s="198"/>
      <c r="C9" s="198"/>
      <c r="D9" s="82"/>
      <c r="E9" s="82"/>
      <c r="F9" s="82"/>
      <c r="G9" s="82"/>
      <c r="H9" s="82"/>
      <c r="I9" s="79"/>
      <c r="J9" s="79"/>
      <c r="K9" s="79"/>
      <c r="L9" s="79"/>
      <c r="M9" s="79"/>
      <c r="N9" s="79"/>
      <c r="O9" s="79"/>
      <c r="P9" s="79"/>
      <c r="Q9" s="79"/>
      <c r="R9" s="79"/>
      <c r="S9" s="79"/>
      <c r="T9" s="79"/>
      <c r="U9" s="79"/>
      <c r="V9" s="79"/>
    </row>
    <row r="10" spans="1:22" s="2" customFormat="1" ht="18.75" x14ac:dyDescent="0.2">
      <c r="A10" s="199" t="s">
        <v>4</v>
      </c>
      <c r="B10" s="199"/>
      <c r="C10" s="199"/>
      <c r="D10" s="83"/>
      <c r="E10" s="83"/>
      <c r="F10" s="83"/>
      <c r="G10" s="83"/>
      <c r="H10" s="83"/>
      <c r="I10" s="79"/>
      <c r="J10" s="79"/>
      <c r="K10" s="79"/>
      <c r="L10" s="79"/>
      <c r="M10" s="79"/>
      <c r="N10" s="79"/>
      <c r="O10" s="79"/>
      <c r="P10" s="79"/>
      <c r="Q10" s="79"/>
      <c r="R10" s="79"/>
      <c r="S10" s="79"/>
      <c r="T10" s="79"/>
      <c r="U10" s="79"/>
      <c r="V10" s="79"/>
    </row>
    <row r="11" spans="1:22" s="2" customFormat="1" ht="18.75" x14ac:dyDescent="0.2">
      <c r="A11" s="80"/>
      <c r="B11" s="80"/>
      <c r="C11" s="80"/>
      <c r="D11" s="80"/>
      <c r="E11" s="80"/>
      <c r="F11" s="80"/>
      <c r="G11" s="80"/>
      <c r="H11" s="80"/>
      <c r="I11" s="79"/>
      <c r="J11" s="79"/>
      <c r="K11" s="79"/>
      <c r="L11" s="79"/>
      <c r="M11" s="79"/>
      <c r="N11" s="79"/>
      <c r="O11" s="79"/>
      <c r="P11" s="79"/>
      <c r="Q11" s="79"/>
      <c r="R11" s="79"/>
      <c r="S11" s="79"/>
      <c r="T11" s="79"/>
      <c r="U11" s="79"/>
      <c r="V11" s="79"/>
    </row>
    <row r="12" spans="1:22" s="2" customFormat="1" ht="18.75" x14ac:dyDescent="0.2">
      <c r="A12" s="198" t="s">
        <v>448</v>
      </c>
      <c r="B12" s="198"/>
      <c r="C12" s="198"/>
      <c r="D12" s="82"/>
      <c r="E12" s="82"/>
      <c r="F12" s="82"/>
      <c r="G12" s="82"/>
      <c r="H12" s="82"/>
      <c r="I12" s="79"/>
      <c r="J12" s="79"/>
      <c r="K12" s="79"/>
      <c r="L12" s="79"/>
      <c r="M12" s="79"/>
      <c r="N12" s="79"/>
      <c r="O12" s="79"/>
      <c r="P12" s="79"/>
      <c r="Q12" s="79"/>
      <c r="R12" s="79"/>
      <c r="S12" s="79"/>
      <c r="T12" s="79"/>
      <c r="U12" s="79"/>
      <c r="V12" s="79"/>
    </row>
    <row r="13" spans="1:22" s="2" customFormat="1" ht="18.75" x14ac:dyDescent="0.2">
      <c r="A13" s="199" t="s">
        <v>3</v>
      </c>
      <c r="B13" s="199"/>
      <c r="C13" s="199"/>
      <c r="D13" s="83"/>
      <c r="E13" s="83"/>
      <c r="F13" s="83"/>
      <c r="G13" s="83"/>
      <c r="H13" s="83"/>
      <c r="I13" s="79"/>
      <c r="J13" s="79"/>
      <c r="K13" s="79"/>
      <c r="L13" s="79"/>
      <c r="M13" s="79"/>
      <c r="N13" s="79"/>
      <c r="O13" s="79"/>
      <c r="P13" s="79"/>
      <c r="Q13" s="79"/>
      <c r="R13" s="79"/>
      <c r="S13" s="79"/>
      <c r="T13" s="79"/>
      <c r="U13" s="79"/>
      <c r="V13" s="79"/>
    </row>
    <row r="14" spans="1:22" s="132" customFormat="1" ht="15.75" customHeight="1" x14ac:dyDescent="0.2">
      <c r="A14" s="69"/>
      <c r="B14" s="69"/>
      <c r="C14" s="69"/>
      <c r="D14" s="69"/>
      <c r="E14" s="69"/>
      <c r="F14" s="69"/>
      <c r="G14" s="69"/>
      <c r="H14" s="69"/>
      <c r="I14" s="69"/>
      <c r="J14" s="69"/>
      <c r="K14" s="69"/>
      <c r="L14" s="69"/>
      <c r="M14" s="69"/>
      <c r="N14" s="69"/>
      <c r="O14" s="69"/>
      <c r="P14" s="69"/>
      <c r="Q14" s="69"/>
      <c r="R14" s="69"/>
      <c r="S14" s="69"/>
      <c r="T14" s="69"/>
      <c r="U14" s="69"/>
      <c r="V14" s="69"/>
    </row>
    <row r="15" spans="1:22" s="133" customFormat="1" ht="33" customHeight="1" x14ac:dyDescent="0.2">
      <c r="A15" s="200" t="str">
        <f>VLOOKUP(A12,'[1]6.2. отчет'!$A:$C,3,0)</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198"/>
      <c r="C15" s="198"/>
      <c r="D15" s="82"/>
      <c r="E15" s="82"/>
      <c r="F15" s="82"/>
      <c r="G15" s="82"/>
      <c r="H15" s="82"/>
      <c r="I15" s="82"/>
      <c r="J15" s="82"/>
      <c r="K15" s="82"/>
      <c r="L15" s="82"/>
      <c r="M15" s="82"/>
      <c r="N15" s="82"/>
      <c r="O15" s="82"/>
      <c r="P15" s="82"/>
      <c r="Q15" s="82"/>
      <c r="R15" s="82"/>
      <c r="S15" s="82"/>
      <c r="T15" s="82"/>
      <c r="U15" s="82"/>
      <c r="V15" s="82"/>
    </row>
    <row r="16" spans="1:22" s="133" customFormat="1" ht="15" customHeight="1" x14ac:dyDescent="0.2">
      <c r="A16" s="194" t="s">
        <v>2</v>
      </c>
      <c r="B16" s="194"/>
      <c r="C16" s="194"/>
      <c r="D16" s="83"/>
      <c r="E16" s="83"/>
      <c r="F16" s="83"/>
      <c r="G16" s="83"/>
      <c r="H16" s="83"/>
      <c r="I16" s="83"/>
      <c r="J16" s="83"/>
      <c r="K16" s="83"/>
      <c r="L16" s="83"/>
      <c r="M16" s="83"/>
      <c r="N16" s="83"/>
      <c r="O16" s="83"/>
      <c r="P16" s="83"/>
      <c r="Q16" s="83"/>
      <c r="R16" s="83"/>
      <c r="S16" s="83"/>
      <c r="T16" s="83"/>
      <c r="U16" s="83"/>
      <c r="V16" s="83"/>
    </row>
    <row r="17" spans="1:22" s="133" customFormat="1" ht="15" customHeight="1" x14ac:dyDescent="0.2">
      <c r="A17" s="71"/>
      <c r="B17" s="71"/>
      <c r="C17" s="71"/>
      <c r="D17" s="134"/>
      <c r="E17" s="134"/>
      <c r="F17" s="134"/>
      <c r="G17" s="134"/>
      <c r="H17" s="134"/>
      <c r="I17" s="134"/>
      <c r="J17" s="134"/>
      <c r="K17" s="134"/>
      <c r="L17" s="134"/>
      <c r="M17" s="134"/>
      <c r="N17" s="134"/>
      <c r="O17" s="134"/>
      <c r="P17" s="134"/>
      <c r="Q17" s="134"/>
      <c r="R17" s="134"/>
      <c r="S17" s="134"/>
    </row>
    <row r="18" spans="1:22" s="133" customFormat="1" ht="15" customHeight="1" x14ac:dyDescent="0.2">
      <c r="A18" s="195" t="s">
        <v>278</v>
      </c>
      <c r="B18" s="196"/>
      <c r="C18" s="196"/>
      <c r="D18" s="135"/>
      <c r="E18" s="135"/>
      <c r="F18" s="135"/>
      <c r="G18" s="135"/>
      <c r="H18" s="135"/>
      <c r="I18" s="135"/>
      <c r="J18" s="135"/>
      <c r="K18" s="135"/>
      <c r="L18" s="135"/>
      <c r="M18" s="135"/>
      <c r="N18" s="135"/>
      <c r="O18" s="135"/>
      <c r="P18" s="135"/>
      <c r="Q18" s="135"/>
      <c r="R18" s="135"/>
      <c r="S18" s="135"/>
      <c r="T18" s="135"/>
      <c r="U18" s="135"/>
      <c r="V18" s="135"/>
    </row>
    <row r="19" spans="1:22" s="133" customFormat="1" ht="15" customHeight="1" x14ac:dyDescent="0.2">
      <c r="A19" s="113"/>
      <c r="B19" s="113"/>
      <c r="C19" s="113"/>
      <c r="D19" s="83"/>
      <c r="E19" s="83"/>
      <c r="F19" s="83"/>
      <c r="G19" s="83"/>
      <c r="H19" s="83"/>
      <c r="I19" s="134"/>
      <c r="J19" s="134"/>
      <c r="K19" s="134"/>
      <c r="L19" s="134"/>
      <c r="M19" s="134"/>
      <c r="N19" s="134"/>
      <c r="O19" s="134"/>
      <c r="P19" s="134"/>
      <c r="Q19" s="134"/>
      <c r="R19" s="134"/>
      <c r="S19" s="134"/>
    </row>
    <row r="20" spans="1:22" s="133" customFormat="1" ht="39.75" customHeight="1" x14ac:dyDescent="0.2">
      <c r="A20" s="145" t="s">
        <v>1</v>
      </c>
      <c r="B20" s="120" t="s">
        <v>20</v>
      </c>
      <c r="C20" s="119" t="s">
        <v>19</v>
      </c>
      <c r="D20" s="139"/>
      <c r="E20" s="139"/>
      <c r="F20" s="139"/>
      <c r="G20" s="139"/>
      <c r="H20" s="139"/>
      <c r="I20" s="69"/>
      <c r="J20" s="69"/>
      <c r="K20" s="69"/>
      <c r="L20" s="69"/>
      <c r="M20" s="69"/>
      <c r="N20" s="69"/>
      <c r="O20" s="69"/>
      <c r="P20" s="69"/>
      <c r="Q20" s="69"/>
      <c r="R20" s="69"/>
      <c r="S20" s="69"/>
      <c r="T20" s="140"/>
      <c r="U20" s="140"/>
      <c r="V20" s="140"/>
    </row>
    <row r="21" spans="1:22" s="133" customFormat="1" ht="16.5" customHeight="1" x14ac:dyDescent="0.2">
      <c r="A21" s="119">
        <v>1</v>
      </c>
      <c r="B21" s="120">
        <v>2</v>
      </c>
      <c r="C21" s="119">
        <v>3</v>
      </c>
      <c r="D21" s="139"/>
      <c r="E21" s="139"/>
      <c r="F21" s="139"/>
      <c r="G21" s="139"/>
      <c r="H21" s="139"/>
      <c r="I21" s="69"/>
      <c r="J21" s="69"/>
      <c r="K21" s="69"/>
      <c r="L21" s="69"/>
      <c r="M21" s="69"/>
      <c r="N21" s="69"/>
      <c r="O21" s="69"/>
      <c r="P21" s="69"/>
      <c r="Q21" s="69"/>
      <c r="R21" s="69"/>
      <c r="S21" s="69"/>
      <c r="T21" s="140"/>
      <c r="U21" s="140"/>
      <c r="V21" s="140"/>
    </row>
    <row r="22" spans="1:22" s="133" customFormat="1" ht="39" customHeight="1" x14ac:dyDescent="0.2">
      <c r="A22" s="62" t="s">
        <v>18</v>
      </c>
      <c r="B22" s="172" t="s">
        <v>158</v>
      </c>
      <c r="C22" s="64" t="s">
        <v>478</v>
      </c>
      <c r="D22" s="139"/>
      <c r="E22" s="139"/>
      <c r="F22" s="139"/>
      <c r="G22" s="139"/>
      <c r="H22" s="139"/>
      <c r="I22" s="69"/>
      <c r="J22" s="69"/>
      <c r="K22" s="69"/>
      <c r="L22" s="69"/>
      <c r="M22" s="69"/>
      <c r="N22" s="69"/>
      <c r="O22" s="69"/>
      <c r="P22" s="69"/>
      <c r="Q22" s="69"/>
      <c r="R22" s="69"/>
      <c r="S22" s="69"/>
      <c r="T22" s="140"/>
      <c r="U22" s="140"/>
      <c r="V22" s="140"/>
    </row>
    <row r="23" spans="1:22" s="133" customFormat="1" ht="47.25" customHeight="1" x14ac:dyDescent="0.2">
      <c r="A23" s="62" t="s">
        <v>17</v>
      </c>
      <c r="B23" s="63" t="s">
        <v>466</v>
      </c>
      <c r="C23" s="64" t="s">
        <v>479</v>
      </c>
      <c r="D23" s="139"/>
      <c r="E23" s="139"/>
      <c r="F23" s="139"/>
      <c r="G23" s="139"/>
      <c r="H23" s="139"/>
      <c r="I23" s="69"/>
      <c r="J23" s="69"/>
      <c r="K23" s="69"/>
      <c r="L23" s="69"/>
      <c r="M23" s="69"/>
      <c r="N23" s="69"/>
      <c r="O23" s="69"/>
      <c r="P23" s="69"/>
      <c r="Q23" s="69"/>
      <c r="R23" s="69"/>
      <c r="S23" s="69"/>
      <c r="T23" s="140"/>
      <c r="U23" s="140"/>
      <c r="V23" s="140"/>
    </row>
    <row r="24" spans="1:22" s="133" customFormat="1" ht="22.5" customHeight="1" x14ac:dyDescent="0.2">
      <c r="A24" s="190"/>
      <c r="B24" s="191"/>
      <c r="C24" s="192"/>
      <c r="D24" s="139"/>
      <c r="E24" s="139"/>
      <c r="F24" s="139"/>
      <c r="G24" s="139"/>
      <c r="H24" s="139"/>
      <c r="I24" s="69"/>
      <c r="J24" s="69"/>
      <c r="K24" s="69"/>
      <c r="L24" s="69"/>
      <c r="M24" s="69"/>
      <c r="N24" s="69"/>
      <c r="O24" s="69"/>
      <c r="P24" s="69"/>
      <c r="Q24" s="69"/>
      <c r="R24" s="69"/>
      <c r="S24" s="69"/>
      <c r="T24" s="140"/>
      <c r="U24" s="140"/>
      <c r="V24" s="140"/>
    </row>
    <row r="25" spans="1:22" s="133" customFormat="1" ht="58.5" customHeight="1" x14ac:dyDescent="0.2">
      <c r="A25" s="62" t="s">
        <v>16</v>
      </c>
      <c r="B25" s="64" t="s">
        <v>244</v>
      </c>
      <c r="C25" s="145" t="s">
        <v>480</v>
      </c>
      <c r="D25" s="139"/>
      <c r="E25" s="139"/>
      <c r="F25" s="139"/>
      <c r="G25" s="139"/>
      <c r="H25" s="69"/>
      <c r="I25" s="69"/>
      <c r="J25" s="69"/>
      <c r="K25" s="69"/>
      <c r="L25" s="69"/>
      <c r="M25" s="69"/>
      <c r="N25" s="69"/>
      <c r="O25" s="69"/>
      <c r="P25" s="69"/>
      <c r="Q25" s="69"/>
      <c r="R25" s="69"/>
      <c r="S25" s="140"/>
      <c r="T25" s="140"/>
      <c r="U25" s="140"/>
      <c r="V25" s="140"/>
    </row>
    <row r="26" spans="1:22" s="133" customFormat="1" ht="42.75" customHeight="1" x14ac:dyDescent="0.2">
      <c r="A26" s="62" t="s">
        <v>15</v>
      </c>
      <c r="B26" s="64" t="s">
        <v>28</v>
      </c>
      <c r="C26" s="145" t="s">
        <v>481</v>
      </c>
      <c r="D26" s="139"/>
      <c r="E26" s="139"/>
      <c r="F26" s="139"/>
      <c r="G26" s="139"/>
      <c r="H26" s="69"/>
      <c r="I26" s="69"/>
      <c r="J26" s="69"/>
      <c r="K26" s="69"/>
      <c r="L26" s="69"/>
      <c r="M26" s="69"/>
      <c r="N26" s="69"/>
      <c r="O26" s="69"/>
      <c r="P26" s="69"/>
      <c r="Q26" s="69"/>
      <c r="R26" s="69"/>
      <c r="S26" s="140"/>
      <c r="T26" s="140"/>
      <c r="U26" s="140"/>
      <c r="V26" s="140"/>
    </row>
    <row r="27" spans="1:22" s="133" customFormat="1" ht="51.75" customHeight="1" x14ac:dyDescent="0.2">
      <c r="A27" s="62" t="s">
        <v>13</v>
      </c>
      <c r="B27" s="64" t="s">
        <v>27</v>
      </c>
      <c r="C27" s="145" t="s">
        <v>482</v>
      </c>
      <c r="D27" s="139"/>
      <c r="E27" s="139"/>
      <c r="F27" s="139"/>
      <c r="G27" s="139"/>
      <c r="H27" s="69"/>
      <c r="I27" s="69"/>
      <c r="J27" s="69"/>
      <c r="K27" s="69"/>
      <c r="L27" s="69"/>
      <c r="M27" s="69"/>
      <c r="N27" s="69"/>
      <c r="O27" s="69"/>
      <c r="P27" s="69"/>
      <c r="Q27" s="69"/>
      <c r="R27" s="69"/>
      <c r="S27" s="140"/>
      <c r="T27" s="140"/>
      <c r="U27" s="140"/>
      <c r="V27" s="140"/>
    </row>
    <row r="28" spans="1:22" s="133" customFormat="1" ht="42.75" customHeight="1" x14ac:dyDescent="0.2">
      <c r="A28" s="62" t="s">
        <v>12</v>
      </c>
      <c r="B28" s="64" t="s">
        <v>245</v>
      </c>
      <c r="C28" s="145" t="s">
        <v>287</v>
      </c>
      <c r="D28" s="139"/>
      <c r="E28" s="139"/>
      <c r="F28" s="139"/>
      <c r="G28" s="139"/>
      <c r="H28" s="69"/>
      <c r="I28" s="69"/>
      <c r="J28" s="69"/>
      <c r="K28" s="69"/>
      <c r="L28" s="69"/>
      <c r="M28" s="69"/>
      <c r="N28" s="69"/>
      <c r="O28" s="69"/>
      <c r="P28" s="69"/>
      <c r="Q28" s="69"/>
      <c r="R28" s="69"/>
      <c r="S28" s="140"/>
      <c r="T28" s="140"/>
      <c r="U28" s="140"/>
      <c r="V28" s="140"/>
    </row>
    <row r="29" spans="1:22" s="133" customFormat="1" ht="51.75" customHeight="1" x14ac:dyDescent="0.2">
      <c r="A29" s="62" t="s">
        <v>10</v>
      </c>
      <c r="B29" s="64" t="s">
        <v>246</v>
      </c>
      <c r="C29" s="145" t="s">
        <v>287</v>
      </c>
      <c r="D29" s="139"/>
      <c r="E29" s="139"/>
      <c r="F29" s="139"/>
      <c r="G29" s="139"/>
      <c r="H29" s="69"/>
      <c r="I29" s="69"/>
      <c r="J29" s="69"/>
      <c r="K29" s="69"/>
      <c r="L29" s="69"/>
      <c r="M29" s="69"/>
      <c r="N29" s="69"/>
      <c r="O29" s="69"/>
      <c r="P29" s="69"/>
      <c r="Q29" s="69"/>
      <c r="R29" s="69"/>
      <c r="S29" s="140"/>
      <c r="T29" s="140"/>
      <c r="U29" s="140"/>
      <c r="V29" s="140"/>
    </row>
    <row r="30" spans="1:22" s="133" customFormat="1" ht="51.75" customHeight="1" x14ac:dyDescent="0.2">
      <c r="A30" s="62" t="s">
        <v>8</v>
      </c>
      <c r="B30" s="64" t="s">
        <v>247</v>
      </c>
      <c r="C30" s="145" t="s">
        <v>287</v>
      </c>
      <c r="D30" s="139"/>
      <c r="E30" s="139"/>
      <c r="F30" s="139"/>
      <c r="G30" s="139"/>
      <c r="H30" s="69"/>
      <c r="I30" s="69"/>
      <c r="J30" s="69"/>
      <c r="K30" s="69"/>
      <c r="L30" s="69"/>
      <c r="M30" s="69"/>
      <c r="N30" s="69"/>
      <c r="O30" s="69"/>
      <c r="P30" s="69"/>
      <c r="Q30" s="69"/>
      <c r="R30" s="69"/>
      <c r="S30" s="140"/>
      <c r="T30" s="140"/>
      <c r="U30" s="140"/>
      <c r="V30" s="140"/>
    </row>
    <row r="31" spans="1:22" s="133" customFormat="1" ht="51.75" customHeight="1" x14ac:dyDescent="0.2">
      <c r="A31" s="62" t="s">
        <v>26</v>
      </c>
      <c r="B31" s="64" t="s">
        <v>248</v>
      </c>
      <c r="C31" s="145" t="s">
        <v>287</v>
      </c>
      <c r="D31" s="139"/>
      <c r="E31" s="139"/>
      <c r="F31" s="139"/>
      <c r="G31" s="139"/>
      <c r="H31" s="69"/>
      <c r="I31" s="69"/>
      <c r="J31" s="69"/>
      <c r="K31" s="69"/>
      <c r="L31" s="69"/>
      <c r="M31" s="69"/>
      <c r="N31" s="69"/>
      <c r="O31" s="69"/>
      <c r="P31" s="69"/>
      <c r="Q31" s="69"/>
      <c r="R31" s="69"/>
      <c r="S31" s="140"/>
      <c r="T31" s="140"/>
      <c r="U31" s="140"/>
      <c r="V31" s="140"/>
    </row>
    <row r="32" spans="1:22" s="133" customFormat="1" ht="51.75" customHeight="1" x14ac:dyDescent="0.2">
      <c r="A32" s="62" t="s">
        <v>24</v>
      </c>
      <c r="B32" s="64" t="s">
        <v>249</v>
      </c>
      <c r="C32" s="145" t="s">
        <v>161</v>
      </c>
      <c r="D32" s="139"/>
      <c r="E32" s="139"/>
      <c r="F32" s="139"/>
      <c r="G32" s="139"/>
      <c r="H32" s="69"/>
      <c r="I32" s="69"/>
      <c r="J32" s="69"/>
      <c r="K32" s="69"/>
      <c r="L32" s="69"/>
      <c r="M32" s="69"/>
      <c r="N32" s="69"/>
      <c r="O32" s="69"/>
      <c r="P32" s="69"/>
      <c r="Q32" s="69"/>
      <c r="R32" s="69"/>
      <c r="S32" s="140"/>
      <c r="T32" s="140"/>
      <c r="U32" s="140"/>
      <c r="V32" s="140"/>
    </row>
    <row r="33" spans="1:22" s="133" customFormat="1" ht="101.25" customHeight="1" x14ac:dyDescent="0.2">
      <c r="A33" s="62" t="s">
        <v>23</v>
      </c>
      <c r="B33" s="64" t="s">
        <v>250</v>
      </c>
      <c r="C33" s="145" t="s">
        <v>483</v>
      </c>
      <c r="D33" s="139"/>
      <c r="E33" s="139"/>
      <c r="F33" s="139"/>
      <c r="G33" s="139"/>
      <c r="H33" s="69"/>
      <c r="I33" s="69"/>
      <c r="J33" s="69"/>
      <c r="K33" s="69"/>
      <c r="L33" s="69"/>
      <c r="M33" s="69"/>
      <c r="N33" s="69"/>
      <c r="O33" s="69"/>
      <c r="P33" s="69"/>
      <c r="Q33" s="69"/>
      <c r="R33" s="69"/>
      <c r="S33" s="140"/>
      <c r="T33" s="140"/>
      <c r="U33" s="140"/>
      <c r="V33" s="140"/>
    </row>
    <row r="34" spans="1:22" ht="111" customHeight="1" x14ac:dyDescent="0.25">
      <c r="A34" s="62" t="s">
        <v>257</v>
      </c>
      <c r="B34" s="64" t="s">
        <v>251</v>
      </c>
      <c r="C34" s="145" t="s">
        <v>287</v>
      </c>
      <c r="D34" s="121"/>
      <c r="E34" s="121"/>
      <c r="F34" s="121"/>
      <c r="G34" s="121"/>
      <c r="H34" s="121"/>
      <c r="I34" s="121"/>
      <c r="J34" s="121"/>
      <c r="K34" s="121"/>
      <c r="L34" s="121"/>
      <c r="M34" s="121"/>
      <c r="N34" s="121"/>
      <c r="O34" s="121"/>
      <c r="P34" s="121"/>
      <c r="Q34" s="121"/>
      <c r="R34" s="121"/>
      <c r="S34" s="121"/>
      <c r="T34" s="121"/>
      <c r="U34" s="121"/>
      <c r="V34" s="121"/>
    </row>
    <row r="35" spans="1:22" ht="58.5" customHeight="1" x14ac:dyDescent="0.25">
      <c r="A35" s="62" t="s">
        <v>254</v>
      </c>
      <c r="B35" s="64" t="s">
        <v>25</v>
      </c>
      <c r="C35" s="145" t="s">
        <v>287</v>
      </c>
      <c r="D35" s="121"/>
      <c r="E35" s="121"/>
      <c r="F35" s="121"/>
      <c r="G35" s="121"/>
      <c r="H35" s="121"/>
      <c r="I35" s="121"/>
      <c r="J35" s="121"/>
      <c r="K35" s="121"/>
      <c r="L35" s="121"/>
      <c r="M35" s="121"/>
      <c r="N35" s="121"/>
      <c r="O35" s="121"/>
      <c r="P35" s="121"/>
      <c r="Q35" s="121"/>
      <c r="R35" s="121"/>
      <c r="S35" s="121"/>
      <c r="T35" s="121"/>
      <c r="U35" s="121"/>
      <c r="V35" s="121"/>
    </row>
    <row r="36" spans="1:22" ht="51.75" customHeight="1" x14ac:dyDescent="0.25">
      <c r="A36" s="62" t="s">
        <v>258</v>
      </c>
      <c r="B36" s="64" t="s">
        <v>252</v>
      </c>
      <c r="C36" s="145" t="s">
        <v>287</v>
      </c>
      <c r="D36" s="121"/>
      <c r="E36" s="121"/>
      <c r="F36" s="121"/>
      <c r="G36" s="121"/>
      <c r="H36" s="121"/>
      <c r="I36" s="121"/>
      <c r="J36" s="121"/>
      <c r="K36" s="121"/>
      <c r="L36" s="121"/>
      <c r="M36" s="121"/>
      <c r="N36" s="121"/>
      <c r="O36" s="121"/>
      <c r="P36" s="121"/>
      <c r="Q36" s="121"/>
      <c r="R36" s="121"/>
      <c r="S36" s="121"/>
      <c r="T36" s="121"/>
      <c r="U36" s="121"/>
      <c r="V36" s="121"/>
    </row>
    <row r="37" spans="1:22" ht="43.5" customHeight="1" x14ac:dyDescent="0.25">
      <c r="A37" s="62" t="s">
        <v>255</v>
      </c>
      <c r="B37" s="64" t="s">
        <v>253</v>
      </c>
      <c r="C37" s="145" t="s">
        <v>161</v>
      </c>
      <c r="D37" s="121"/>
      <c r="E37" s="121"/>
      <c r="F37" s="121"/>
      <c r="G37" s="121"/>
      <c r="H37" s="121"/>
      <c r="I37" s="121"/>
      <c r="J37" s="121"/>
      <c r="K37" s="121"/>
      <c r="L37" s="121"/>
      <c r="M37" s="121"/>
      <c r="N37" s="121"/>
      <c r="O37" s="121"/>
      <c r="P37" s="121"/>
      <c r="Q37" s="121"/>
      <c r="R37" s="121"/>
      <c r="S37" s="121"/>
      <c r="T37" s="121"/>
      <c r="U37" s="121"/>
      <c r="V37" s="121"/>
    </row>
    <row r="38" spans="1:22" ht="43.5" customHeight="1" x14ac:dyDescent="0.25">
      <c r="A38" s="62" t="s">
        <v>259</v>
      </c>
      <c r="B38" s="64" t="s">
        <v>155</v>
      </c>
      <c r="C38" s="145" t="s">
        <v>287</v>
      </c>
      <c r="D38" s="121"/>
      <c r="E38" s="121"/>
      <c r="F38" s="121"/>
      <c r="G38" s="121"/>
      <c r="H38" s="121"/>
      <c r="I38" s="121"/>
      <c r="J38" s="121"/>
      <c r="K38" s="121"/>
      <c r="L38" s="121"/>
      <c r="M38" s="121"/>
      <c r="N38" s="121"/>
      <c r="O38" s="121"/>
      <c r="P38" s="121"/>
      <c r="Q38" s="121"/>
      <c r="R38" s="121"/>
      <c r="S38" s="121"/>
      <c r="T38" s="121"/>
      <c r="U38" s="121"/>
      <c r="V38" s="121"/>
    </row>
    <row r="39" spans="1:22" ht="23.25" customHeight="1" x14ac:dyDescent="0.25">
      <c r="A39" s="190"/>
      <c r="B39" s="191"/>
      <c r="C39" s="192"/>
      <c r="D39" s="121"/>
      <c r="E39" s="121"/>
      <c r="F39" s="121"/>
      <c r="G39" s="121"/>
      <c r="H39" s="121"/>
      <c r="I39" s="121"/>
      <c r="J39" s="121"/>
      <c r="K39" s="121"/>
      <c r="L39" s="121"/>
      <c r="M39" s="121"/>
      <c r="N39" s="121"/>
      <c r="O39" s="121"/>
      <c r="P39" s="121"/>
      <c r="Q39" s="121"/>
      <c r="R39" s="121"/>
      <c r="S39" s="121"/>
      <c r="T39" s="121"/>
      <c r="U39" s="121"/>
      <c r="V39" s="121"/>
    </row>
    <row r="40" spans="1:22" ht="101.25" customHeight="1" x14ac:dyDescent="0.25">
      <c r="A40" s="62" t="s">
        <v>291</v>
      </c>
      <c r="B40" s="64" t="s">
        <v>465</v>
      </c>
      <c r="C40" s="145" t="s">
        <v>484</v>
      </c>
      <c r="D40" s="121"/>
      <c r="E40" s="121"/>
      <c r="F40" s="121"/>
      <c r="G40" s="121"/>
      <c r="H40" s="121"/>
      <c r="I40" s="121"/>
      <c r="J40" s="121"/>
      <c r="K40" s="121"/>
      <c r="L40" s="121"/>
      <c r="M40" s="121"/>
      <c r="N40" s="121"/>
      <c r="O40" s="121"/>
      <c r="P40" s="121"/>
      <c r="Q40" s="121"/>
      <c r="R40" s="121"/>
      <c r="S40" s="121"/>
      <c r="T40" s="121"/>
      <c r="U40" s="121"/>
      <c r="V40" s="121"/>
    </row>
    <row r="41" spans="1:22" ht="101.25" customHeight="1" x14ac:dyDescent="0.25">
      <c r="A41" s="65" t="s">
        <v>292</v>
      </c>
      <c r="B41" s="32" t="s">
        <v>335</v>
      </c>
      <c r="C41" s="145" t="s">
        <v>287</v>
      </c>
      <c r="D41" s="121"/>
      <c r="E41" s="121"/>
      <c r="F41" s="121"/>
      <c r="G41" s="121"/>
      <c r="H41" s="121"/>
      <c r="I41" s="121"/>
      <c r="J41" s="121"/>
      <c r="K41" s="121"/>
      <c r="L41" s="121"/>
      <c r="M41" s="121"/>
      <c r="N41" s="121"/>
      <c r="O41" s="121"/>
      <c r="P41" s="121"/>
      <c r="Q41" s="121"/>
      <c r="R41" s="121"/>
      <c r="S41" s="121"/>
      <c r="T41" s="121"/>
      <c r="U41" s="121"/>
      <c r="V41" s="121"/>
    </row>
    <row r="42" spans="1:22" ht="101.25" customHeight="1" x14ac:dyDescent="0.25">
      <c r="A42" s="65" t="s">
        <v>293</v>
      </c>
      <c r="B42" s="32" t="s">
        <v>336</v>
      </c>
      <c r="C42" s="145" t="s">
        <v>485</v>
      </c>
      <c r="D42" s="121"/>
      <c r="E42" s="121"/>
      <c r="F42" s="121"/>
      <c r="G42" s="121"/>
      <c r="H42" s="121"/>
      <c r="I42" s="121"/>
      <c r="J42" s="121"/>
      <c r="K42" s="121"/>
      <c r="L42" s="121"/>
      <c r="M42" s="121"/>
      <c r="N42" s="121"/>
      <c r="O42" s="121"/>
      <c r="P42" s="121"/>
      <c r="Q42" s="121"/>
      <c r="R42" s="121"/>
      <c r="S42" s="121"/>
      <c r="T42" s="121"/>
      <c r="U42" s="121"/>
      <c r="V42" s="121"/>
    </row>
    <row r="43" spans="1:22" ht="114.75" customHeight="1" x14ac:dyDescent="0.25">
      <c r="A43" s="65" t="s">
        <v>262</v>
      </c>
      <c r="B43" s="32" t="s">
        <v>337</v>
      </c>
      <c r="C43" s="145" t="s">
        <v>287</v>
      </c>
      <c r="D43" s="121"/>
      <c r="E43" s="121"/>
      <c r="F43" s="121"/>
      <c r="G43" s="121"/>
      <c r="H43" s="121"/>
      <c r="I43" s="121"/>
      <c r="J43" s="121"/>
      <c r="K43" s="121"/>
      <c r="L43" s="121"/>
      <c r="M43" s="121"/>
      <c r="N43" s="121"/>
      <c r="O43" s="121"/>
      <c r="P43" s="121"/>
      <c r="Q43" s="121"/>
      <c r="R43" s="121"/>
      <c r="S43" s="121"/>
      <c r="T43" s="121"/>
      <c r="U43" s="121"/>
      <c r="V43" s="121"/>
    </row>
    <row r="44" spans="1:22" ht="101.25" customHeight="1" x14ac:dyDescent="0.25">
      <c r="A44" s="65" t="s">
        <v>290</v>
      </c>
      <c r="B44" s="32" t="s">
        <v>338</v>
      </c>
      <c r="C44" s="145" t="s">
        <v>287</v>
      </c>
      <c r="D44" s="121"/>
      <c r="E44" s="121"/>
      <c r="F44" s="121"/>
      <c r="G44" s="121"/>
      <c r="H44" s="121"/>
      <c r="I44" s="121"/>
      <c r="J44" s="121"/>
      <c r="K44" s="121"/>
      <c r="L44" s="121"/>
      <c r="M44" s="121"/>
      <c r="N44" s="121"/>
      <c r="O44" s="121"/>
      <c r="P44" s="121"/>
      <c r="Q44" s="121"/>
      <c r="R44" s="121"/>
      <c r="S44" s="121"/>
      <c r="T44" s="121"/>
      <c r="U44" s="121"/>
      <c r="V44" s="121"/>
    </row>
    <row r="45" spans="1:22" ht="101.25" customHeight="1" x14ac:dyDescent="0.25">
      <c r="A45" s="65" t="s">
        <v>340</v>
      </c>
      <c r="B45" s="32" t="s">
        <v>341</v>
      </c>
      <c r="C45" s="145" t="s">
        <v>287</v>
      </c>
      <c r="D45" s="121"/>
      <c r="E45" s="121"/>
      <c r="F45" s="121"/>
      <c r="G45" s="121"/>
      <c r="H45" s="121"/>
      <c r="I45" s="121"/>
      <c r="J45" s="121"/>
      <c r="K45" s="121"/>
      <c r="L45" s="121"/>
      <c r="M45" s="121"/>
      <c r="N45" s="121"/>
      <c r="O45" s="121"/>
      <c r="P45" s="121"/>
      <c r="Q45" s="121"/>
      <c r="R45" s="121"/>
      <c r="S45" s="121"/>
      <c r="T45" s="121"/>
      <c r="U45" s="121"/>
      <c r="V45" s="121"/>
    </row>
    <row r="46" spans="1:22" ht="101.25" customHeight="1" x14ac:dyDescent="0.25">
      <c r="A46" s="65" t="s">
        <v>342</v>
      </c>
      <c r="B46" s="32" t="s">
        <v>279</v>
      </c>
      <c r="C46" s="145" t="s">
        <v>486</v>
      </c>
      <c r="D46" s="121"/>
      <c r="E46" s="121"/>
      <c r="F46" s="121"/>
      <c r="G46" s="121"/>
      <c r="H46" s="121"/>
      <c r="I46" s="121"/>
      <c r="J46" s="121"/>
      <c r="K46" s="121"/>
      <c r="L46" s="121"/>
      <c r="M46" s="121"/>
      <c r="N46" s="121"/>
      <c r="O46" s="121"/>
      <c r="P46" s="121"/>
      <c r="Q46" s="121"/>
      <c r="R46" s="121"/>
      <c r="S46" s="121"/>
      <c r="T46" s="121"/>
      <c r="U46" s="121"/>
      <c r="V46" s="121"/>
    </row>
    <row r="47" spans="1:22" ht="18.75" customHeight="1" x14ac:dyDescent="0.25">
      <c r="A47" s="65"/>
      <c r="B47" s="32"/>
      <c r="C47" s="66"/>
      <c r="D47" s="121"/>
      <c r="E47" s="121"/>
      <c r="F47" s="121"/>
      <c r="G47" s="121"/>
      <c r="H47" s="121"/>
      <c r="I47" s="121"/>
      <c r="J47" s="121"/>
      <c r="K47" s="121"/>
      <c r="L47" s="121"/>
      <c r="M47" s="121"/>
      <c r="N47" s="121"/>
      <c r="O47" s="121"/>
      <c r="P47" s="121"/>
      <c r="Q47" s="121"/>
      <c r="R47" s="121"/>
      <c r="S47" s="121"/>
      <c r="T47" s="121"/>
      <c r="U47" s="121"/>
      <c r="V47" s="121"/>
    </row>
    <row r="48" spans="1:22" ht="75.75" customHeight="1" x14ac:dyDescent="0.25">
      <c r="A48" s="65" t="s">
        <v>446</v>
      </c>
      <c r="B48" s="32" t="s">
        <v>282</v>
      </c>
      <c r="C48" s="173">
        <f>'6.2. Паспорт фин осв ввод'!D24</f>
        <v>0</v>
      </c>
      <c r="D48" s="121"/>
      <c r="E48" s="121"/>
      <c r="F48" s="121"/>
      <c r="G48" s="121"/>
      <c r="H48" s="121"/>
      <c r="I48" s="121"/>
      <c r="J48" s="121"/>
      <c r="K48" s="121"/>
      <c r="L48" s="121"/>
      <c r="M48" s="121"/>
      <c r="N48" s="121"/>
      <c r="O48" s="121"/>
      <c r="P48" s="121"/>
      <c r="Q48" s="121"/>
      <c r="R48" s="121"/>
      <c r="S48" s="121"/>
      <c r="T48" s="121"/>
      <c r="U48" s="121"/>
      <c r="V48" s="121"/>
    </row>
    <row r="49" spans="1:22" ht="71.25" customHeight="1" x14ac:dyDescent="0.25">
      <c r="A49" s="65" t="s">
        <v>447</v>
      </c>
      <c r="B49" s="32" t="s">
        <v>283</v>
      </c>
      <c r="C49" s="173">
        <f>'6.2. Паспорт фин осв ввод'!D30</f>
        <v>0</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row r="329" spans="1:22"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row>
    <row r="330" spans="1:22"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row>
    <row r="331" spans="1:22"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row>
    <row r="332" spans="1:22"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row>
    <row r="333" spans="1:22"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row>
    <row r="334" spans="1:22"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70" zoomScaleNormal="70" workbookViewId="0">
      <selection activeCell="I33" sqref="I33"/>
    </sheetView>
  </sheetViews>
  <sheetFormatPr defaultRowHeight="15.75" x14ac:dyDescent="0.25"/>
  <cols>
    <col min="1" max="1" width="9.140625" style="9"/>
    <col min="2" max="2" width="57.85546875" style="9" customWidth="1"/>
    <col min="3" max="3" width="10.7109375" style="9" customWidth="1"/>
    <col min="4" max="6" width="10.7109375" style="187" customWidth="1"/>
    <col min="7" max="11" width="10.7109375" style="9" customWidth="1"/>
    <col min="12" max="16384" width="9.140625" style="9"/>
  </cols>
  <sheetData>
    <row r="4" spans="1:11" ht="18.75" customHeight="1" x14ac:dyDescent="0.25">
      <c r="A4" s="193" t="str">
        <f>'8. Общие сведения'!$A$5</f>
        <v>Год раскрытия информации: 2019 год</v>
      </c>
      <c r="B4" s="193"/>
      <c r="C4" s="193"/>
      <c r="D4" s="193"/>
      <c r="E4" s="193"/>
      <c r="F4" s="193"/>
      <c r="G4" s="193"/>
      <c r="H4" s="193"/>
      <c r="I4" s="193"/>
      <c r="J4" s="193"/>
      <c r="K4" s="193"/>
    </row>
    <row r="6" spans="1:11" ht="18.75" x14ac:dyDescent="0.25">
      <c r="A6" s="197" t="s">
        <v>5</v>
      </c>
      <c r="B6" s="197"/>
      <c r="C6" s="197"/>
      <c r="D6" s="197"/>
      <c r="E6" s="197"/>
      <c r="F6" s="197"/>
      <c r="G6" s="197"/>
      <c r="H6" s="197"/>
      <c r="I6" s="197"/>
      <c r="J6" s="197"/>
      <c r="K6" s="197"/>
    </row>
    <row r="7" spans="1:11" ht="18.75" x14ac:dyDescent="0.25">
      <c r="A7" s="79"/>
      <c r="B7" s="79"/>
      <c r="C7" s="79"/>
      <c r="D7" s="184"/>
      <c r="E7" s="184"/>
      <c r="F7" s="184"/>
      <c r="G7" s="79"/>
      <c r="H7" s="18"/>
      <c r="I7" s="18"/>
      <c r="J7" s="18"/>
      <c r="K7" s="18"/>
    </row>
    <row r="8" spans="1:11" x14ac:dyDescent="0.25">
      <c r="A8" s="198" t="s">
        <v>286</v>
      </c>
      <c r="B8" s="198"/>
      <c r="C8" s="198"/>
      <c r="D8" s="198"/>
      <c r="E8" s="198"/>
      <c r="F8" s="198"/>
      <c r="G8" s="198"/>
      <c r="H8" s="198"/>
      <c r="I8" s="198"/>
      <c r="J8" s="198"/>
      <c r="K8" s="198"/>
    </row>
    <row r="9" spans="1:11" ht="18.75" customHeight="1" x14ac:dyDescent="0.25">
      <c r="A9" s="199" t="s">
        <v>4</v>
      </c>
      <c r="B9" s="199"/>
      <c r="C9" s="199"/>
      <c r="D9" s="199"/>
      <c r="E9" s="199"/>
      <c r="F9" s="199"/>
      <c r="G9" s="199"/>
      <c r="H9" s="199"/>
      <c r="I9" s="199"/>
      <c r="J9" s="199"/>
      <c r="K9" s="199"/>
    </row>
    <row r="10" spans="1:11" ht="18.75" x14ac:dyDescent="0.25">
      <c r="A10" s="79"/>
      <c r="B10" s="79"/>
      <c r="C10" s="79"/>
      <c r="D10" s="184"/>
      <c r="E10" s="184"/>
      <c r="F10" s="184"/>
      <c r="G10" s="79"/>
      <c r="H10" s="18"/>
      <c r="I10" s="18"/>
      <c r="J10" s="18"/>
      <c r="K10" s="18"/>
    </row>
    <row r="11" spans="1:11" x14ac:dyDescent="0.25">
      <c r="A11" s="198" t="str">
        <f>'1. паспорт местоположение'!$A$12</f>
        <v>H_Che82</v>
      </c>
      <c r="B11" s="198"/>
      <c r="C11" s="198"/>
      <c r="D11" s="198"/>
      <c r="E11" s="198"/>
      <c r="F11" s="198"/>
      <c r="G11" s="198"/>
      <c r="H11" s="198"/>
      <c r="I11" s="198"/>
      <c r="J11" s="198"/>
      <c r="K11" s="198"/>
    </row>
    <row r="12" spans="1:11" x14ac:dyDescent="0.25">
      <c r="A12" s="199" t="s">
        <v>3</v>
      </c>
      <c r="B12" s="199"/>
      <c r="C12" s="199"/>
      <c r="D12" s="199"/>
      <c r="E12" s="199"/>
      <c r="F12" s="199"/>
      <c r="G12" s="199"/>
      <c r="H12" s="199"/>
      <c r="I12" s="199"/>
      <c r="J12" s="199"/>
      <c r="K12" s="199"/>
    </row>
    <row r="13" spans="1:11" ht="16.5" customHeight="1" x14ac:dyDescent="0.3">
      <c r="A13" s="1"/>
      <c r="B13" s="1"/>
      <c r="C13" s="1"/>
      <c r="D13" s="185"/>
      <c r="E13" s="185"/>
      <c r="F13" s="185"/>
      <c r="G13" s="1"/>
      <c r="H13" s="17"/>
      <c r="I13" s="17"/>
      <c r="J13" s="17"/>
      <c r="K13" s="17"/>
    </row>
    <row r="14" spans="1:11" x14ac:dyDescent="0.25">
      <c r="A14" s="198"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4" s="198"/>
      <c r="C14" s="198"/>
      <c r="D14" s="198"/>
      <c r="E14" s="198"/>
      <c r="F14" s="198"/>
      <c r="G14" s="198"/>
      <c r="H14" s="198"/>
      <c r="I14" s="198"/>
      <c r="J14" s="198"/>
      <c r="K14" s="198"/>
    </row>
    <row r="15" spans="1:11" ht="15.75" customHeight="1" x14ac:dyDescent="0.25">
      <c r="A15" s="199" t="s">
        <v>2</v>
      </c>
      <c r="B15" s="199"/>
      <c r="C15" s="199"/>
      <c r="D15" s="199"/>
      <c r="E15" s="199"/>
      <c r="F15" s="199"/>
      <c r="G15" s="199"/>
      <c r="H15" s="199"/>
      <c r="I15" s="199"/>
      <c r="J15" s="199"/>
      <c r="K15" s="199"/>
    </row>
    <row r="16" spans="1:11" x14ac:dyDescent="0.25">
      <c r="A16" s="269"/>
      <c r="B16" s="269"/>
      <c r="C16" s="269"/>
      <c r="D16" s="269"/>
      <c r="E16" s="269"/>
      <c r="F16" s="269"/>
      <c r="G16" s="269"/>
      <c r="H16" s="269"/>
      <c r="I16" s="269"/>
      <c r="J16" s="269"/>
      <c r="K16" s="269"/>
    </row>
    <row r="18" spans="1:11" x14ac:dyDescent="0.25">
      <c r="A18" s="265" t="s">
        <v>267</v>
      </c>
      <c r="B18" s="265"/>
      <c r="C18" s="265"/>
      <c r="D18" s="265"/>
      <c r="E18" s="265"/>
      <c r="F18" s="265"/>
      <c r="G18" s="265"/>
      <c r="H18" s="265"/>
      <c r="I18" s="265"/>
      <c r="J18" s="265"/>
      <c r="K18" s="265"/>
    </row>
    <row r="20" spans="1:11" ht="33" customHeight="1" x14ac:dyDescent="0.25">
      <c r="A20" s="266" t="s">
        <v>112</v>
      </c>
      <c r="B20" s="266" t="s">
        <v>111</v>
      </c>
      <c r="C20" s="250" t="s">
        <v>110</v>
      </c>
      <c r="D20" s="250"/>
      <c r="E20" s="258" t="s">
        <v>109</v>
      </c>
      <c r="F20" s="258"/>
      <c r="G20" s="266" t="s">
        <v>493</v>
      </c>
      <c r="H20" s="268" t="s">
        <v>467</v>
      </c>
      <c r="I20" s="268"/>
      <c r="J20" s="268"/>
      <c r="K20" s="268"/>
    </row>
    <row r="21" spans="1:11" ht="99.75" customHeight="1" x14ac:dyDescent="0.25">
      <c r="A21" s="267"/>
      <c r="B21" s="267"/>
      <c r="C21" s="250"/>
      <c r="D21" s="250"/>
      <c r="E21" s="258"/>
      <c r="F21" s="258"/>
      <c r="G21" s="267"/>
      <c r="H21" s="250" t="s">
        <v>0</v>
      </c>
      <c r="I21" s="250"/>
      <c r="J21" s="250" t="s">
        <v>329</v>
      </c>
      <c r="K21" s="250"/>
    </row>
    <row r="22" spans="1:11" ht="89.25" customHeight="1" x14ac:dyDescent="0.25">
      <c r="A22" s="253"/>
      <c r="B22" s="253"/>
      <c r="C22" s="188" t="s">
        <v>0</v>
      </c>
      <c r="D22" s="188" t="s">
        <v>329</v>
      </c>
      <c r="E22" s="189" t="s">
        <v>494</v>
      </c>
      <c r="F22" s="189" t="s">
        <v>495</v>
      </c>
      <c r="G22" s="253"/>
      <c r="H22" s="16" t="s">
        <v>496</v>
      </c>
      <c r="I22" s="16" t="s">
        <v>497</v>
      </c>
      <c r="J22" s="16" t="s">
        <v>496</v>
      </c>
      <c r="K22" s="16" t="s">
        <v>497</v>
      </c>
    </row>
    <row r="23" spans="1:11" ht="19.5" customHeight="1" x14ac:dyDescent="0.25">
      <c r="A23" s="186">
        <v>1</v>
      </c>
      <c r="B23" s="186">
        <v>2</v>
      </c>
      <c r="C23" s="186">
        <v>3</v>
      </c>
      <c r="D23" s="186">
        <v>4</v>
      </c>
      <c r="E23" s="186">
        <v>5</v>
      </c>
      <c r="F23" s="186">
        <v>6</v>
      </c>
      <c r="G23" s="186">
        <v>7</v>
      </c>
      <c r="H23" s="186">
        <v>8</v>
      </c>
      <c r="I23" s="186">
        <v>9</v>
      </c>
      <c r="J23" s="186">
        <v>10</v>
      </c>
      <c r="K23" s="186">
        <v>11</v>
      </c>
    </row>
    <row r="24" spans="1:11" s="81" customFormat="1" ht="47.25" customHeight="1" x14ac:dyDescent="0.25">
      <c r="A24" s="14">
        <v>1</v>
      </c>
      <c r="B24" s="13" t="s">
        <v>108</v>
      </c>
      <c r="C24" s="35">
        <f>VLOOKUP($A$11,'[1]6.2. отчет'!$D:$K,2,0)</f>
        <v>23.147228506076502</v>
      </c>
      <c r="D24" s="35">
        <f>VLOOKUP($A$11,'[1]6.2. отчет'!$D:$K,5,0)</f>
        <v>0</v>
      </c>
      <c r="E24" s="35">
        <f>VLOOKUP($A$11,'[1]6.2. отчет'!$D:$K,7,0)</f>
        <v>23.147228506076502</v>
      </c>
      <c r="F24" s="35">
        <f>VLOOKUP($A$11,'[1]6.2. отчет'!$D:$K,8,0)</f>
        <v>23.147228506076502</v>
      </c>
      <c r="G24" s="35">
        <f>VLOOKUP($A$11,'[1]6.2. отчет'!$D:$BL,9,0)</f>
        <v>0</v>
      </c>
      <c r="H24" s="35">
        <f>VLOOKUP($A$11,'[1]6.2. отчет'!$D:$BL,15,0)</f>
        <v>23.147228506076502</v>
      </c>
      <c r="I24" s="35">
        <f>VLOOKUP($A$11,'[1]6.2. отчет'!$D:$CU,45,0)</f>
        <v>23.147228506076502</v>
      </c>
      <c r="J24" s="35">
        <f>VLOOKUP($A$11,'[1]6.2. отчет'!$D:$BL,56,0)</f>
        <v>0</v>
      </c>
      <c r="K24" s="35">
        <f>VLOOKUP($A$11,'[1]6.2. отчет'!$D:$CU,86,0)</f>
        <v>0</v>
      </c>
    </row>
    <row r="25" spans="1:11" s="57" customFormat="1" ht="24" customHeight="1" x14ac:dyDescent="0.25">
      <c r="A25" s="12" t="s">
        <v>107</v>
      </c>
      <c r="B25" s="8" t="s">
        <v>106</v>
      </c>
      <c r="C25" s="35">
        <f t="shared" ref="C25:C26" si="0">H25</f>
        <v>0</v>
      </c>
      <c r="D25" s="35">
        <f>G25+J25</f>
        <v>0</v>
      </c>
      <c r="E25" s="35">
        <f t="shared" ref="E25:E28" si="1">F25+G25</f>
        <v>0</v>
      </c>
      <c r="F25" s="35">
        <f t="shared" ref="F25:F26" si="2">J25</f>
        <v>0</v>
      </c>
      <c r="G25" s="35">
        <f>VLOOKUP($A$11,'[1]6.2. отчет'!$D:$BL,10,0)</f>
        <v>0</v>
      </c>
      <c r="H25" s="35">
        <f>VLOOKUP($A$11,'[1]6.2. отчет'!$D:$BL,16,0)</f>
        <v>0</v>
      </c>
      <c r="I25" s="35">
        <f>IF(H25=0,0,VLOOKUP($A$11,'[1]6.2. отчет'!$D:$CU,46,0))</f>
        <v>0</v>
      </c>
      <c r="J25" s="35">
        <f>VLOOKUP($A$11,'[1]6.2. отчет'!$D:$BL,57,0)</f>
        <v>0</v>
      </c>
      <c r="K25" s="35">
        <f>IF(J25=0,0,VLOOKUP($A$11,'[1]6.2. отчет'!$D:$CU,87,0))</f>
        <v>0</v>
      </c>
    </row>
    <row r="26" spans="1:11" s="57" customFormat="1" ht="18" customHeight="1" x14ac:dyDescent="0.25">
      <c r="A26" s="12" t="s">
        <v>105</v>
      </c>
      <c r="B26" s="8" t="s">
        <v>104</v>
      </c>
      <c r="C26" s="35">
        <f t="shared" si="0"/>
        <v>0</v>
      </c>
      <c r="D26" s="35">
        <f>G26+J26</f>
        <v>0</v>
      </c>
      <c r="E26" s="35">
        <f t="shared" si="1"/>
        <v>0</v>
      </c>
      <c r="F26" s="35">
        <f t="shared" si="2"/>
        <v>0</v>
      </c>
      <c r="G26" s="35">
        <f>VLOOKUP($A$11,'[1]6.2. отчет'!$D:$BL,11,0)</f>
        <v>0</v>
      </c>
      <c r="H26" s="35">
        <f>VLOOKUP($A$11,'[1]6.2. отчет'!$D:$BL,17,0)</f>
        <v>0</v>
      </c>
      <c r="I26" s="35">
        <f>IF(H26=0,0,VLOOKUP($A$11,'[1]6.2. отчет'!$D:$CU,47,0))</f>
        <v>0</v>
      </c>
      <c r="J26" s="35">
        <f>VLOOKUP($A$11,'[1]6.2. отчет'!$D:$BL,58,0)</f>
        <v>0</v>
      </c>
      <c r="K26" s="35">
        <f>IF(J26=0,0,VLOOKUP($A$11,'[1]6.2. отчет'!$D:$CU,88,0))</f>
        <v>0</v>
      </c>
    </row>
    <row r="27" spans="1:11" s="57" customFormat="1" ht="33.75" customHeight="1" x14ac:dyDescent="0.25">
      <c r="A27" s="12" t="s">
        <v>103</v>
      </c>
      <c r="B27" s="8" t="s">
        <v>217</v>
      </c>
      <c r="C27" s="35">
        <f>IF(C24="нд","нд",C24-(C29+C28+C26+C25))</f>
        <v>19.616295344132631</v>
      </c>
      <c r="D27" s="35">
        <f>G27+J27+D24-(G24+J24)</f>
        <v>0</v>
      </c>
      <c r="E27" s="35">
        <f>F27+G27</f>
        <v>23.147228506076502</v>
      </c>
      <c r="F27" s="35">
        <f>F24-(F25+F26+F28+F29)</f>
        <v>23.147228506076502</v>
      </c>
      <c r="G27" s="35">
        <f>VLOOKUP($A$11,'[1]6.2. отчет'!$D:$BL,12,0)</f>
        <v>0</v>
      </c>
      <c r="H27" s="35">
        <f>VLOOKUP($A$11,'[1]6.2. отчет'!$D:$BL,18,0)</f>
        <v>19.616295344132631</v>
      </c>
      <c r="I27" s="35">
        <f>IF(H27=0,0,VLOOKUP($A$11,'[1]6.2. отчет'!$D:$CU,48,0))</f>
        <v>19.616295344132631</v>
      </c>
      <c r="J27" s="35">
        <f>VLOOKUP($A$11,'[1]6.2. отчет'!$D:$BL,59,0)</f>
        <v>0</v>
      </c>
      <c r="K27" s="35">
        <f>IF(J27=0,0,VLOOKUP($A$11,'[1]6.2. отчет'!$D:$CU,89,0))</f>
        <v>0</v>
      </c>
    </row>
    <row r="28" spans="1:11" s="57" customFormat="1" ht="22.5" customHeight="1" x14ac:dyDescent="0.25">
      <c r="A28" s="12" t="s">
        <v>102</v>
      </c>
      <c r="B28" s="8" t="s">
        <v>101</v>
      </c>
      <c r="C28" s="35">
        <f>H28</f>
        <v>0</v>
      </c>
      <c r="D28" s="35">
        <f t="shared" ref="D28:D29" si="3">G28+J28</f>
        <v>0</v>
      </c>
      <c r="E28" s="35">
        <f t="shared" si="1"/>
        <v>0</v>
      </c>
      <c r="F28" s="35">
        <v>0</v>
      </c>
      <c r="G28" s="35">
        <f>VLOOKUP($A$11,'[1]6.2. отчет'!$D:$BL,13,0)</f>
        <v>0</v>
      </c>
      <c r="H28" s="35">
        <f>VLOOKUP($A$11,'[1]6.2. отчет'!$D:$BL,19,0)</f>
        <v>0</v>
      </c>
      <c r="I28" s="35">
        <f>IF(H28=0,0,VLOOKUP($A$11,'[1]6.2. отчет'!$D:$CU,49,0))</f>
        <v>0</v>
      </c>
      <c r="J28" s="35">
        <f>VLOOKUP($A$11,'[1]6.2. отчет'!$D:$BL,60,0)</f>
        <v>0</v>
      </c>
      <c r="K28" s="35">
        <f>IF(J28=0,0,VLOOKUP($A$11,'[1]6.2. отчет'!$D:$CU,90,0))</f>
        <v>0</v>
      </c>
    </row>
    <row r="29" spans="1:11" s="57" customFormat="1" ht="20.25" customHeight="1" x14ac:dyDescent="0.25">
      <c r="A29" s="12" t="s">
        <v>100</v>
      </c>
      <c r="B29" s="15" t="s">
        <v>99</v>
      </c>
      <c r="C29" s="35">
        <f>H29</f>
        <v>3.5309331619438709</v>
      </c>
      <c r="D29" s="35">
        <f t="shared" si="3"/>
        <v>0</v>
      </c>
      <c r="E29" s="35">
        <f>F29+G29</f>
        <v>0</v>
      </c>
      <c r="F29" s="35">
        <v>0</v>
      </c>
      <c r="G29" s="35">
        <f>VLOOKUP($A$11,'[1]6.2. отчет'!$D:$BL,14,0)</f>
        <v>0</v>
      </c>
      <c r="H29" s="35">
        <f>VLOOKUP($A$11,'[1]6.2. отчет'!$D:$BL,20,0)</f>
        <v>3.5309331619438709</v>
      </c>
      <c r="I29" s="35">
        <f>IF(H29=0,0,VLOOKUP($A$11,'[1]6.2. отчет'!$D:$CU,50,0))</f>
        <v>3.5309331619438709</v>
      </c>
      <c r="J29" s="35">
        <f>VLOOKUP($A$11,'[1]6.2. отчет'!$D:$BL,61,0)</f>
        <v>0</v>
      </c>
      <c r="K29" s="35">
        <f>IF(J29=0,0,VLOOKUP($A$11,'[1]6.2. отчет'!$D:$CU,91,0))</f>
        <v>0</v>
      </c>
    </row>
    <row r="30" spans="1:11" s="81" customFormat="1" ht="47.25" x14ac:dyDescent="0.25">
      <c r="A30" s="14" t="s">
        <v>17</v>
      </c>
      <c r="B30" s="13" t="s">
        <v>98</v>
      </c>
      <c r="C30" s="35">
        <f>VLOOKUP($A$11,'[1]6.2. отчет'!$D:$DB,99,0)</f>
        <v>19.616295344132631</v>
      </c>
      <c r="D30" s="35">
        <f>VLOOKUP($A$11,'[1]6.2. отчет'!$D:$FK,106,0)</f>
        <v>0</v>
      </c>
      <c r="E30" s="35">
        <f>VLOOKUP($A$11,'[1]6.2. отчет'!$D:$FK,108,0)</f>
        <v>19.616295344132631</v>
      </c>
      <c r="F30" s="35">
        <f>VLOOKUP($A$11,'[1]6.2. отчет'!$D:$FK,109,0)</f>
        <v>19.616295344132631</v>
      </c>
      <c r="G30" s="35">
        <f>VLOOKUP($A$11,'[1]6.2. отчет'!$D:$FK,110,0)</f>
        <v>0</v>
      </c>
      <c r="H30" s="35">
        <f>VLOOKUP($A$11,'[1]6.2. отчет'!$D:$FK,115,0)</f>
        <v>19.616295344132631</v>
      </c>
      <c r="I30" s="35">
        <f>VLOOKUP($A$11,'[1]6.2. отчет'!$D:$AGP,124,0)</f>
        <v>19.616295344132631</v>
      </c>
      <c r="J30" s="35">
        <f>VLOOKUP($A$11,'[1]6.2. отчет'!$D:$FK,130,0)</f>
        <v>0</v>
      </c>
      <c r="K30" s="35">
        <f>VLOOKUP($A$11,'[1]6.2. отчет'!$D:$FK,155,0)</f>
        <v>0</v>
      </c>
    </row>
    <row r="31" spans="1:11" s="57" customFormat="1" ht="21.75" customHeight="1" x14ac:dyDescent="0.25">
      <c r="A31" s="14" t="s">
        <v>97</v>
      </c>
      <c r="B31" s="8" t="s">
        <v>96</v>
      </c>
      <c r="C31" s="35">
        <f>VLOOKUP($A$11,'[1]6.2. отчет'!$D:$DB,100,0)</f>
        <v>1.0071758044793</v>
      </c>
      <c r="D31" s="35">
        <f>J31</f>
        <v>0</v>
      </c>
      <c r="E31" s="35">
        <f>F31+G31</f>
        <v>1.0071758044793</v>
      </c>
      <c r="F31" s="35">
        <f>H31</f>
        <v>1.0071758044793</v>
      </c>
      <c r="G31" s="35">
        <f>VLOOKUP($A$11,'[1]6.2. отчет'!$D:$FK,111,0)</f>
        <v>0</v>
      </c>
      <c r="H31" s="35">
        <f>C31</f>
        <v>1.0071758044793</v>
      </c>
      <c r="I31" s="35">
        <v>0</v>
      </c>
      <c r="J31" s="35">
        <f>VLOOKUP($A$11,'[1]6.2. отчет'!$D:$FK,131,0)</f>
        <v>0</v>
      </c>
      <c r="K31" s="35">
        <f>IF(J31=0,0,VLOOKUP($A$11,'[1]6.2. отчет'!$D:$FK,156,0))</f>
        <v>0</v>
      </c>
    </row>
    <row r="32" spans="1:11" s="57" customFormat="1" ht="31.5" x14ac:dyDescent="0.25">
      <c r="A32" s="14" t="s">
        <v>95</v>
      </c>
      <c r="B32" s="8" t="s">
        <v>94</v>
      </c>
      <c r="C32" s="35">
        <f>VLOOKUP($A$11,'[1]6.2. отчет'!$D:$DB,101,0)</f>
        <v>4.5870611851938303</v>
      </c>
      <c r="D32" s="35">
        <f t="shared" ref="D32:D34" si="4">J32</f>
        <v>0</v>
      </c>
      <c r="E32" s="35">
        <f t="shared" ref="E32:E57" si="5">F32+G32</f>
        <v>4.5870611851938303</v>
      </c>
      <c r="F32" s="35">
        <f t="shared" ref="F32:F34" si="6">H32</f>
        <v>4.5870611851938303</v>
      </c>
      <c r="G32" s="35">
        <f>VLOOKUP($A$11,'[1]6.2. отчет'!$D:$FK,112,0)</f>
        <v>0</v>
      </c>
      <c r="H32" s="35">
        <f t="shared" ref="H32:H34" si="7">C32</f>
        <v>4.5870611851938303</v>
      </c>
      <c r="I32" s="35">
        <v>0</v>
      </c>
      <c r="J32" s="35">
        <f>VLOOKUP($A$11,'[1]6.2. отчет'!$D:$FK,132,0)</f>
        <v>0</v>
      </c>
      <c r="K32" s="35">
        <f>IF(J32=0,0,VLOOKUP($A$11,'[1]6.2. отчет'!$D:$FK,157,0))</f>
        <v>0</v>
      </c>
    </row>
    <row r="33" spans="1:11" s="57" customFormat="1" ht="24.75" customHeight="1" x14ac:dyDescent="0.25">
      <c r="A33" s="14" t="s">
        <v>93</v>
      </c>
      <c r="B33" s="8" t="s">
        <v>92</v>
      </c>
      <c r="C33" s="35">
        <f>VLOOKUP($A$11,'[1]6.2. отчет'!$D:$DB,102,0)</f>
        <v>10.899099025478799</v>
      </c>
      <c r="D33" s="35">
        <f t="shared" si="4"/>
        <v>0</v>
      </c>
      <c r="E33" s="35">
        <f t="shared" si="5"/>
        <v>10.899099025478799</v>
      </c>
      <c r="F33" s="35">
        <f t="shared" si="6"/>
        <v>10.899099025478799</v>
      </c>
      <c r="G33" s="35">
        <f>VLOOKUP($A$11,'[1]6.2. отчет'!$D:$FK,113,0)</f>
        <v>0</v>
      </c>
      <c r="H33" s="35">
        <f t="shared" si="7"/>
        <v>10.899099025478799</v>
      </c>
      <c r="I33" s="35">
        <v>0</v>
      </c>
      <c r="J33" s="35">
        <f>VLOOKUP($A$11,'[1]6.2. отчет'!$D:$FK,133,0)</f>
        <v>0</v>
      </c>
      <c r="K33" s="35">
        <f>IF(J33=0,0,VLOOKUP($A$11,'[1]6.2. отчет'!$D:$FK,158,0))</f>
        <v>0</v>
      </c>
    </row>
    <row r="34" spans="1:11" s="57" customFormat="1" ht="27" customHeight="1" x14ac:dyDescent="0.25">
      <c r="A34" s="14" t="s">
        <v>91</v>
      </c>
      <c r="B34" s="8" t="s">
        <v>90</v>
      </c>
      <c r="C34" s="35">
        <f>VLOOKUP($A$11,'[1]6.2. отчет'!$D:$DB,103,0)</f>
        <v>3.12295932898071</v>
      </c>
      <c r="D34" s="35">
        <f t="shared" si="4"/>
        <v>0</v>
      </c>
      <c r="E34" s="35">
        <f t="shared" si="5"/>
        <v>3.12295932898071</v>
      </c>
      <c r="F34" s="35">
        <f t="shared" si="6"/>
        <v>3.12295932898071</v>
      </c>
      <c r="G34" s="35">
        <f>VLOOKUP($A$11,'[1]6.2. отчет'!$D:$FK,114,0)</f>
        <v>0</v>
      </c>
      <c r="H34" s="35">
        <f t="shared" si="7"/>
        <v>3.12295932898071</v>
      </c>
      <c r="I34" s="35">
        <v>0</v>
      </c>
      <c r="J34" s="35">
        <f>VLOOKUP($A$11,'[1]6.2. отчет'!$D:$FK,134,0)</f>
        <v>0</v>
      </c>
      <c r="K34" s="35">
        <f>IF(J34=0,0,VLOOKUP($A$11,'[1]6.2. отчет'!$D:$FK,159,0))</f>
        <v>0</v>
      </c>
    </row>
    <row r="35" spans="1:11" s="81" customFormat="1" ht="31.5" x14ac:dyDescent="0.25">
      <c r="A35" s="14" t="s">
        <v>16</v>
      </c>
      <c r="B35" s="13" t="s">
        <v>89</v>
      </c>
      <c r="C35" s="35"/>
      <c r="D35" s="35"/>
      <c r="E35" s="35"/>
      <c r="F35" s="35"/>
      <c r="G35" s="35"/>
      <c r="H35" s="35"/>
      <c r="I35" s="56"/>
      <c r="J35" s="35"/>
      <c r="K35" s="56"/>
    </row>
    <row r="36" spans="1:11" s="57" customFormat="1" ht="31.5" x14ac:dyDescent="0.25">
      <c r="A36" s="12" t="s">
        <v>88</v>
      </c>
      <c r="B36" s="36" t="s">
        <v>87</v>
      </c>
      <c r="C36" s="35">
        <f>IF('1. паспорт местоположение'!$C$22="Прочие инвестиционные проекты",0,VLOOKUP($A$11,'[1]6.2. отчет'!$D:$FX,168,0))</f>
        <v>0</v>
      </c>
      <c r="D36" s="35">
        <v>0</v>
      </c>
      <c r="E36" s="35">
        <f t="shared" si="5"/>
        <v>0</v>
      </c>
      <c r="F36" s="35">
        <f>C36</f>
        <v>0</v>
      </c>
      <c r="G36" s="35">
        <f>IF('1. паспорт местоположение'!$C$22="Прочие инвестиционные проекты",0,VLOOKUP($A$11,'[1]6.2. отчет'!$D:$GJ,180,0))</f>
        <v>0</v>
      </c>
      <c r="H36" s="35">
        <f>IF('1. паспорт местоположение'!$C$22="Прочие инвестиционные проекты",0,VLOOKUP($A$11,'[1]6.2. отчет'!$D:$AGO,191,0))</f>
        <v>0</v>
      </c>
      <c r="I36" s="35">
        <f>IF('1. паспорт местоположение'!$C$22="Прочие инвестиционные проекты",0,VLOOKUP($A$11,'[1]6.2. отчет'!$D:$AGO,246,0))</f>
        <v>0</v>
      </c>
      <c r="J36" s="35">
        <f>IF('1. паспорт местоположение'!$C$22="Прочие инвестиционные проекты",0,VLOOKUP($A$11,'[1]6.2. отчет'!$D:$AGO,257,0))</f>
        <v>0</v>
      </c>
      <c r="K36" s="35">
        <f>IF('1. паспорт местоположение'!$C$22="Прочие инвестиционные проекты",0,VLOOKUP($A$11,'[1]6.2. отчет'!$D:$AGO,312,0))</f>
        <v>0</v>
      </c>
    </row>
    <row r="37" spans="1:11" s="57" customFormat="1" x14ac:dyDescent="0.25">
      <c r="A37" s="12" t="s">
        <v>86</v>
      </c>
      <c r="B37" s="36" t="s">
        <v>76</v>
      </c>
      <c r="C37" s="35">
        <f>IF('1. паспорт местоположение'!$C$22="Прочие инвестиционные проекты",0,VLOOKUP($A$11,'[1]6.2. отчет'!$D:$FX,169,0))</f>
        <v>0</v>
      </c>
      <c r="D37" s="35">
        <v>0</v>
      </c>
      <c r="E37" s="35">
        <f t="shared" si="5"/>
        <v>0</v>
      </c>
      <c r="F37" s="35">
        <f t="shared" ref="F37:F64" si="8">C37</f>
        <v>0</v>
      </c>
      <c r="G37" s="35">
        <f>IF('1. паспорт местоположение'!$C$22="Прочие инвестиционные проекты",0,VLOOKUP($A$11,'[1]6.2. отчет'!$D:$GJ,181,0))</f>
        <v>0</v>
      </c>
      <c r="H37" s="35">
        <f>IF('1. паспорт местоположение'!$C$22="Прочие инвестиционные проекты",0,VLOOKUP($A$11,'[1]6.2. отчет'!$D:$AGO,192,0))</f>
        <v>0</v>
      </c>
      <c r="I37" s="35">
        <f>IF('1. паспорт местоположение'!$C$22="Прочие инвестиционные проекты",0,VLOOKUP($A$11,'[1]6.2. отчет'!$D:$AGO,247,0))</f>
        <v>0</v>
      </c>
      <c r="J37" s="35">
        <f>IF('1. паспорт местоположение'!$C$22="Прочие инвестиционные проекты",0,VLOOKUP($A$11,'[1]6.2. отчет'!$D:$AGO,258,0))</f>
        <v>0</v>
      </c>
      <c r="K37" s="35">
        <f>IF('1. паспорт местоположение'!$C$22="Прочие инвестиционные проекты",0,VLOOKUP($A$11,'[1]6.2. отчет'!$D:$AGO,313,0))</f>
        <v>0</v>
      </c>
    </row>
    <row r="38" spans="1:11" s="57" customFormat="1" x14ac:dyDescent="0.25">
      <c r="A38" s="12" t="s">
        <v>85</v>
      </c>
      <c r="B38" s="36" t="s">
        <v>74</v>
      </c>
      <c r="C38" s="35">
        <f>IF('1. паспорт местоположение'!$C$22="Прочие инвестиционные проекты",0,VLOOKUP($A$11,'[1]6.2. отчет'!$D:$FX,170,0))</f>
        <v>0</v>
      </c>
      <c r="D38" s="35">
        <v>0</v>
      </c>
      <c r="E38" s="35">
        <f t="shared" si="5"/>
        <v>0</v>
      </c>
      <c r="F38" s="35">
        <f t="shared" si="8"/>
        <v>0</v>
      </c>
      <c r="G38" s="35">
        <f>IF('1. паспорт местоположение'!$C$22="Прочие инвестиционные проекты",0,VLOOKUP($A$11,'[1]6.2. отчет'!$D:$GJ,182,0))</f>
        <v>0</v>
      </c>
      <c r="H38" s="35">
        <f>IF('1. паспорт местоположение'!$C$22="Прочие инвестиционные проекты",0,VLOOKUP($A$11,'[1]6.2. отчет'!$D:$AGO,193,0))</f>
        <v>0</v>
      </c>
      <c r="I38" s="35">
        <f>IF('1. паспорт местоположение'!$C$22="Прочие инвестиционные проекты",0,VLOOKUP($A$11,'[1]6.2. отчет'!$D:$AGO,248,0))</f>
        <v>0</v>
      </c>
      <c r="J38" s="35">
        <f>IF('1. паспорт местоположение'!$C$22="Прочие инвестиционные проекты",0,VLOOKUP($A$11,'[1]6.2. отчет'!$D:$AGO,259,0))</f>
        <v>0</v>
      </c>
      <c r="K38" s="35">
        <f>IF('1. паспорт местоположение'!$C$22="Прочие инвестиционные проекты",0,VLOOKUP($A$11,'[1]6.2. отчет'!$D:$AGO,314,0))</f>
        <v>0</v>
      </c>
    </row>
    <row r="39" spans="1:11" s="57" customFormat="1" ht="31.5" x14ac:dyDescent="0.25">
      <c r="A39" s="12" t="s">
        <v>84</v>
      </c>
      <c r="B39" s="8" t="s">
        <v>72</v>
      </c>
      <c r="C39" s="35">
        <f>IF('1. паспорт местоположение'!$C$22="Прочие инвестиционные проекты",0,VLOOKUP($A$11,'[1]6.2. отчет'!$D:$FX,172,0))</f>
        <v>0</v>
      </c>
      <c r="D39" s="35">
        <v>0</v>
      </c>
      <c r="E39" s="35">
        <f t="shared" si="5"/>
        <v>0</v>
      </c>
      <c r="F39" s="35">
        <f t="shared" si="8"/>
        <v>0</v>
      </c>
      <c r="G39" s="35">
        <f>IF('1. паспорт местоположение'!$C$22="Прочие инвестиционные проекты",0,VLOOKUP($A$11,'[1]6.2. отчет'!$D:$GJ,184,0))</f>
        <v>0</v>
      </c>
      <c r="H39" s="35">
        <f>IF('1. паспорт местоположение'!$C$22="Прочие инвестиционные проекты",0,VLOOKUP($A$11,'[1]6.2. отчет'!$D:$AGO,195,0))</f>
        <v>0</v>
      </c>
      <c r="I39" s="35">
        <f>IF('1. паспорт местоположение'!$C$22="Прочие инвестиционные проекты",0,VLOOKUP($A$11,'[1]6.2. отчет'!$D:$AGO,250,0))</f>
        <v>0</v>
      </c>
      <c r="J39" s="35">
        <f>IF('1. паспорт местоположение'!$C$22="Прочие инвестиционные проекты",0,VLOOKUP($A$11,'[1]6.2. отчет'!$D:$AGO,261,0))</f>
        <v>0</v>
      </c>
      <c r="K39" s="35">
        <f>IF('1. паспорт местоположение'!$C$22="Прочие инвестиционные проекты",0,VLOOKUP($A$11,'[1]6.2. отчет'!$D:$AGO,316,0))</f>
        <v>0</v>
      </c>
    </row>
    <row r="40" spans="1:11" s="57" customFormat="1" ht="31.5" x14ac:dyDescent="0.25">
      <c r="A40" s="12" t="s">
        <v>83</v>
      </c>
      <c r="B40" s="8" t="s">
        <v>70</v>
      </c>
      <c r="C40" s="35">
        <f>IF('1. паспорт местоположение'!$C$22="Прочие инвестиционные проекты",0,VLOOKUP($A$11,'[1]6.2. отчет'!$D:$FX,173,0))</f>
        <v>0</v>
      </c>
      <c r="D40" s="35">
        <v>0</v>
      </c>
      <c r="E40" s="35">
        <f t="shared" si="5"/>
        <v>0</v>
      </c>
      <c r="F40" s="35">
        <f t="shared" si="8"/>
        <v>0</v>
      </c>
      <c r="G40" s="35">
        <f>IF('1. паспорт местоположение'!$C$22="Прочие инвестиционные проекты",0,VLOOKUP($A$11,'[1]6.2. отчет'!$D:$GJ,185,0))</f>
        <v>0</v>
      </c>
      <c r="H40" s="35">
        <f>IF('1. паспорт местоположение'!$C$22="Прочие инвестиционные проекты",0,VLOOKUP($A$11,'[1]6.2. отчет'!$D:$AGO,196,0))</f>
        <v>0</v>
      </c>
      <c r="I40" s="35">
        <f>IF('1. паспорт местоположение'!$C$22="Прочие инвестиционные проекты",0,VLOOKUP($A$11,'[1]6.2. отчет'!$D:$AGO,251,0))</f>
        <v>0</v>
      </c>
      <c r="J40" s="35">
        <f>IF('1. паспорт местоположение'!$C$22="Прочие инвестиционные проекты",0,VLOOKUP($A$11,'[1]6.2. отчет'!$D:$AGO,262,0))</f>
        <v>0</v>
      </c>
      <c r="K40" s="35">
        <f>IF('1. паспорт местоположение'!$C$22="Прочие инвестиционные проекты",0,VLOOKUP($A$11,'[1]6.2. отчет'!$D:$AGO,317,0))</f>
        <v>0</v>
      </c>
    </row>
    <row r="41" spans="1:11" s="57" customFormat="1" x14ac:dyDescent="0.25">
      <c r="A41" s="12" t="s">
        <v>82</v>
      </c>
      <c r="B41" s="8" t="s">
        <v>68</v>
      </c>
      <c r="C41" s="35">
        <f>IF('1. паспорт местоположение'!$C$22="Прочие инвестиционные проекты",0,VLOOKUP($A$11,'[1]6.2. отчет'!$D:$FX,174,0))</f>
        <v>0</v>
      </c>
      <c r="D41" s="35">
        <v>0</v>
      </c>
      <c r="E41" s="35">
        <f t="shared" si="5"/>
        <v>0</v>
      </c>
      <c r="F41" s="35">
        <f t="shared" si="8"/>
        <v>0</v>
      </c>
      <c r="G41" s="35">
        <f>IF('1. паспорт местоположение'!$C$22="Прочие инвестиционные проекты",0,VLOOKUP($A$11,'[1]6.2. отчет'!$D:$GJ,186,0))</f>
        <v>0</v>
      </c>
      <c r="H41" s="35">
        <f>IF('1. паспорт местоположение'!$C$22="Прочие инвестиционные проекты",0,VLOOKUP($A$11,'[1]6.2. отчет'!$D:$AGO,197,0))</f>
        <v>0</v>
      </c>
      <c r="I41" s="35">
        <f>IF('1. паспорт местоположение'!$C$22="Прочие инвестиционные проекты",0,VLOOKUP($A$11,'[1]6.2. отчет'!$D:$AGO,252,0))</f>
        <v>0</v>
      </c>
      <c r="J41" s="35">
        <f>IF('1. паспорт местоположение'!$C$22="Прочие инвестиционные проекты",0,VLOOKUP($A$11,'[1]6.2. отчет'!$D:$AGO,263,0))</f>
        <v>0</v>
      </c>
      <c r="K41" s="35">
        <f>IF('1. паспорт местоположение'!$C$22="Прочие инвестиционные проекты",0,VLOOKUP($A$11,'[1]6.2. отчет'!$D:$AGO,318,0))</f>
        <v>0</v>
      </c>
    </row>
    <row r="42" spans="1:11" s="57" customFormat="1" x14ac:dyDescent="0.25">
      <c r="A42" s="12" t="s">
        <v>81</v>
      </c>
      <c r="B42" s="36" t="s">
        <v>468</v>
      </c>
      <c r="C42" s="35">
        <f>IF('1. паспорт местоположение'!$C$22="Прочие инвестиционные проекты",0,VLOOKUP($A$11,'[1]6.2. отчет'!$D:$FX,177,0))</f>
        <v>1</v>
      </c>
      <c r="D42" s="35">
        <v>0</v>
      </c>
      <c r="E42" s="35">
        <f t="shared" si="5"/>
        <v>1</v>
      </c>
      <c r="F42" s="35">
        <f t="shared" si="8"/>
        <v>1</v>
      </c>
      <c r="G42" s="35">
        <f>IF('1. паспорт местоположение'!$C$22="Прочие инвестиционные проекты",0,VLOOKUP($A$11,'[1]6.2. отчет'!$D:$GJ,189,0))</f>
        <v>0</v>
      </c>
      <c r="H42" s="35">
        <f>IF('1. паспорт местоположение'!$C$22="Прочие инвестиционные проекты",0,VLOOKUP($A$11,'[1]6.2. отчет'!$D:$AGO,200,0))</f>
        <v>0</v>
      </c>
      <c r="I42" s="35">
        <f>IF('1. паспорт местоположение'!$C$22="Прочие инвестиционные проекты",0,VLOOKUP($A$11,'[1]6.2. отчет'!$D:$AGO,255,0))</f>
        <v>0</v>
      </c>
      <c r="J42" s="35">
        <f>IF('1. паспорт местоположение'!$C$22="Прочие инвестиционные проекты",0,VLOOKUP($A$11,'[1]6.2. отчет'!$D:$AGO,266,0))</f>
        <v>0</v>
      </c>
      <c r="K42" s="35">
        <f>IF('1. паспорт местоположение'!$C$22="Прочие инвестиционные проекты",0,VLOOKUP($A$11,'[1]6.2. отчет'!$D:$AGO,321,0))</f>
        <v>0</v>
      </c>
    </row>
    <row r="43" spans="1:11" s="81" customFormat="1" x14ac:dyDescent="0.25">
      <c r="A43" s="14" t="s">
        <v>15</v>
      </c>
      <c r="B43" s="13" t="s">
        <v>80</v>
      </c>
      <c r="C43" s="35"/>
      <c r="D43" s="35"/>
      <c r="E43" s="35"/>
      <c r="F43" s="35">
        <f t="shared" si="8"/>
        <v>0</v>
      </c>
      <c r="G43" s="35"/>
      <c r="H43" s="35"/>
      <c r="I43" s="56"/>
      <c r="J43" s="35"/>
      <c r="K43" s="56"/>
    </row>
    <row r="44" spans="1:11" s="57" customFormat="1" x14ac:dyDescent="0.25">
      <c r="A44" s="12" t="s">
        <v>79</v>
      </c>
      <c r="B44" s="8" t="s">
        <v>78</v>
      </c>
      <c r="C44" s="35">
        <f>VLOOKUP($A$11,'[1]6.2. отчет'!$D:$FX,168,0)</f>
        <v>0</v>
      </c>
      <c r="D44" s="35">
        <v>0</v>
      </c>
      <c r="E44" s="35">
        <f t="shared" si="5"/>
        <v>0</v>
      </c>
      <c r="F44" s="35">
        <f t="shared" si="8"/>
        <v>0</v>
      </c>
      <c r="G44" s="35">
        <f>VLOOKUP($A$11,'[1]6.2. отчет'!$D:$GJ,180,0)</f>
        <v>0</v>
      </c>
      <c r="H44" s="35">
        <f>VLOOKUP($A$11,'[1]6.2. отчет'!$D:$AGO,191,0)</f>
        <v>0</v>
      </c>
      <c r="I44" s="35">
        <f>VLOOKUP($A$11,'[1]6.2. отчет'!$D:$AGO,246,0)</f>
        <v>0</v>
      </c>
      <c r="J44" s="35">
        <f>VLOOKUP($A$11,'[1]6.2. отчет'!$D:$AGO,257,0)</f>
        <v>0</v>
      </c>
      <c r="K44" s="35">
        <f>VLOOKUP($A$11,'[1]6.2. отчет'!$D:$AGO,312,0)</f>
        <v>0</v>
      </c>
    </row>
    <row r="45" spans="1:11" s="57" customFormat="1" x14ac:dyDescent="0.25">
      <c r="A45" s="12" t="s">
        <v>77</v>
      </c>
      <c r="B45" s="8" t="s">
        <v>76</v>
      </c>
      <c r="C45" s="35">
        <f>VLOOKUP($A$11,'[1]6.2. отчет'!$D:$FX,169,0)</f>
        <v>0</v>
      </c>
      <c r="D45" s="35">
        <v>0</v>
      </c>
      <c r="E45" s="35">
        <f t="shared" si="5"/>
        <v>0</v>
      </c>
      <c r="F45" s="35">
        <f t="shared" si="8"/>
        <v>0</v>
      </c>
      <c r="G45" s="35">
        <f>VLOOKUP($A$11,'[1]6.2. отчет'!$D:$GJ,181,0)</f>
        <v>0</v>
      </c>
      <c r="H45" s="35">
        <f>VLOOKUP($A$11,'[1]6.2. отчет'!$D:$AGO,192,0)</f>
        <v>0</v>
      </c>
      <c r="I45" s="35">
        <f>VLOOKUP($A$11,'[1]6.2. отчет'!$D:$AGO,247,0)</f>
        <v>0</v>
      </c>
      <c r="J45" s="35">
        <f>VLOOKUP($A$11,'[1]6.2. отчет'!$D:$AGO,258,0)</f>
        <v>0</v>
      </c>
      <c r="K45" s="35">
        <f>VLOOKUP($A$11,'[1]6.2. отчет'!$D:$AGO,313,0)</f>
        <v>0</v>
      </c>
    </row>
    <row r="46" spans="1:11" s="57" customFormat="1" x14ac:dyDescent="0.25">
      <c r="A46" s="12" t="s">
        <v>75</v>
      </c>
      <c r="B46" s="8" t="s">
        <v>74</v>
      </c>
      <c r="C46" s="35">
        <f>VLOOKUP($A$11,'[1]6.2. отчет'!$D:$FX,170,0)</f>
        <v>0</v>
      </c>
      <c r="D46" s="35">
        <v>0</v>
      </c>
      <c r="E46" s="35">
        <f t="shared" si="5"/>
        <v>0</v>
      </c>
      <c r="F46" s="35">
        <f t="shared" si="8"/>
        <v>0</v>
      </c>
      <c r="G46" s="35">
        <f>VLOOKUP($A$11,'[1]6.2. отчет'!$D:$GJ,182,0)</f>
        <v>0</v>
      </c>
      <c r="H46" s="35">
        <f>VLOOKUP($A$11,'[1]6.2. отчет'!$D:$AGO,193,0)</f>
        <v>0</v>
      </c>
      <c r="I46" s="35">
        <f>VLOOKUP($A$11,'[1]6.2. отчет'!$D:$AGO,248,0)</f>
        <v>0</v>
      </c>
      <c r="J46" s="35">
        <f>VLOOKUP($A$11,'[1]6.2. отчет'!$D:$AGO,259,0)</f>
        <v>0</v>
      </c>
      <c r="K46" s="35">
        <f>VLOOKUP($A$11,'[1]6.2. отчет'!$D:$AGO,314,0)</f>
        <v>0</v>
      </c>
    </row>
    <row r="47" spans="1:11" s="57" customFormat="1" ht="31.5" x14ac:dyDescent="0.25">
      <c r="A47" s="12" t="s">
        <v>73</v>
      </c>
      <c r="B47" s="8" t="s">
        <v>72</v>
      </c>
      <c r="C47" s="35">
        <f>VLOOKUP($A$11,'[1]6.2. отчет'!$D:$FX,172,0)</f>
        <v>0</v>
      </c>
      <c r="D47" s="35">
        <v>0</v>
      </c>
      <c r="E47" s="35">
        <f t="shared" si="5"/>
        <v>0</v>
      </c>
      <c r="F47" s="35">
        <f t="shared" si="8"/>
        <v>0</v>
      </c>
      <c r="G47" s="35">
        <f>VLOOKUP($A$11,'[1]6.2. отчет'!$D:$GJ,184,0)</f>
        <v>0</v>
      </c>
      <c r="H47" s="35">
        <f>VLOOKUP($A$11,'[1]6.2. отчет'!$D:$AGO,195,0)</f>
        <v>0</v>
      </c>
      <c r="I47" s="35">
        <f>VLOOKUP($A$11,'[1]6.2. отчет'!$D:$AGO,250,0)</f>
        <v>0</v>
      </c>
      <c r="J47" s="35">
        <f>VLOOKUP($A$11,'[1]6.2. отчет'!$D:$AGO,261,0)</f>
        <v>0</v>
      </c>
      <c r="K47" s="35">
        <f>VLOOKUP($A$11,'[1]6.2. отчет'!$D:$AGO,316,0)</f>
        <v>0</v>
      </c>
    </row>
    <row r="48" spans="1:11" s="57" customFormat="1" ht="31.5" x14ac:dyDescent="0.25">
      <c r="A48" s="12" t="s">
        <v>71</v>
      </c>
      <c r="B48" s="8" t="s">
        <v>70</v>
      </c>
      <c r="C48" s="35">
        <f>VLOOKUP($A$11,'[1]6.2. отчет'!$D:$FX,173,0)</f>
        <v>0</v>
      </c>
      <c r="D48" s="35">
        <v>0</v>
      </c>
      <c r="E48" s="35">
        <f t="shared" si="5"/>
        <v>0</v>
      </c>
      <c r="F48" s="35">
        <f t="shared" si="8"/>
        <v>0</v>
      </c>
      <c r="G48" s="35">
        <f>VLOOKUP($A$11,'[1]6.2. отчет'!$D:$GJ,185,0)</f>
        <v>0</v>
      </c>
      <c r="H48" s="35">
        <f>VLOOKUP($A$11,'[1]6.2. отчет'!$D:$AGO,196,0)</f>
        <v>0</v>
      </c>
      <c r="I48" s="35">
        <f>VLOOKUP($A$11,'[1]6.2. отчет'!$D:$AGO,251,0)</f>
        <v>0</v>
      </c>
      <c r="J48" s="35">
        <f>VLOOKUP($A$11,'[1]6.2. отчет'!$D:$AGO,262,0)</f>
        <v>0</v>
      </c>
      <c r="K48" s="35">
        <f>VLOOKUP($A$11,'[1]6.2. отчет'!$D:$AGO,317,0)</f>
        <v>0</v>
      </c>
    </row>
    <row r="49" spans="1:11" s="57" customFormat="1" x14ac:dyDescent="0.25">
      <c r="A49" s="12" t="s">
        <v>69</v>
      </c>
      <c r="B49" s="8" t="s">
        <v>68</v>
      </c>
      <c r="C49" s="35">
        <f>VLOOKUP($A$11,'[1]6.2. отчет'!$D:$FX,174,0)</f>
        <v>0</v>
      </c>
      <c r="D49" s="35">
        <v>0</v>
      </c>
      <c r="E49" s="35">
        <f t="shared" si="5"/>
        <v>0</v>
      </c>
      <c r="F49" s="35">
        <f t="shared" si="8"/>
        <v>0</v>
      </c>
      <c r="G49" s="35">
        <f>VLOOKUP($A$11,'[1]6.2. отчет'!$D:$GJ,186,0)</f>
        <v>0</v>
      </c>
      <c r="H49" s="35">
        <f>VLOOKUP($A$11,'[1]6.2. отчет'!$D:$AGO,197,0)</f>
        <v>0</v>
      </c>
      <c r="I49" s="35">
        <f>VLOOKUP($A$11,'[1]6.2. отчет'!$D:$AGO,252,0)</f>
        <v>0</v>
      </c>
      <c r="J49" s="35">
        <f>VLOOKUP($A$11,'[1]6.2. отчет'!$D:$AGO,263,0)</f>
        <v>0</v>
      </c>
      <c r="K49" s="35">
        <f>VLOOKUP($A$11,'[1]6.2. отчет'!$D:$AGO,318,0)</f>
        <v>0</v>
      </c>
    </row>
    <row r="50" spans="1:11" s="57" customFormat="1" x14ac:dyDescent="0.25">
      <c r="A50" s="12" t="s">
        <v>67</v>
      </c>
      <c r="B50" s="8" t="s">
        <v>468</v>
      </c>
      <c r="C50" s="35">
        <f>VLOOKUP($A$11,'[1]6.2. отчет'!$D:$FX,177,0)</f>
        <v>1</v>
      </c>
      <c r="D50" s="35">
        <v>0</v>
      </c>
      <c r="E50" s="35">
        <f t="shared" si="5"/>
        <v>1</v>
      </c>
      <c r="F50" s="35">
        <f t="shared" si="8"/>
        <v>1</v>
      </c>
      <c r="G50" s="35">
        <f>VLOOKUP($A$11,'[1]6.2. отчет'!$D:$GJ,189,0)</f>
        <v>0</v>
      </c>
      <c r="H50" s="35">
        <f>VLOOKUP($A$11,'[1]6.2. отчет'!$D:$AGO,200,0)</f>
        <v>0</v>
      </c>
      <c r="I50" s="35">
        <f>VLOOKUP($A$11,'[1]6.2. отчет'!$D:$AGO,255,0)</f>
        <v>0</v>
      </c>
      <c r="J50" s="35">
        <f>VLOOKUP($A$11,'[1]6.2. отчет'!$D:$AGO,266,0)</f>
        <v>0</v>
      </c>
      <c r="K50" s="35">
        <f>VLOOKUP($A$11,'[1]6.2. отчет'!$D:$AGO,321,0)</f>
        <v>0</v>
      </c>
    </row>
    <row r="51" spans="1:11" s="57" customFormat="1" ht="31.5" x14ac:dyDescent="0.25">
      <c r="A51" s="14" t="s">
        <v>13</v>
      </c>
      <c r="B51" s="13" t="s">
        <v>66</v>
      </c>
      <c r="C51" s="35"/>
      <c r="D51" s="35"/>
      <c r="E51" s="35"/>
      <c r="F51" s="35">
        <f t="shared" si="8"/>
        <v>0</v>
      </c>
      <c r="G51" s="35"/>
      <c r="H51" s="35"/>
      <c r="I51" s="56"/>
      <c r="J51" s="35"/>
      <c r="K51" s="56"/>
    </row>
    <row r="52" spans="1:11" s="57" customFormat="1" x14ac:dyDescent="0.25">
      <c r="A52" s="12" t="s">
        <v>65</v>
      </c>
      <c r="B52" s="8" t="s">
        <v>64</v>
      </c>
      <c r="C52" s="35">
        <f>VLOOKUP($A$11,'[1]6.2. отчет'!$D:$FX,167,0)</f>
        <v>19.616295344132631</v>
      </c>
      <c r="D52" s="35">
        <v>0</v>
      </c>
      <c r="E52" s="35">
        <f t="shared" si="5"/>
        <v>19.616295344132631</v>
      </c>
      <c r="F52" s="35">
        <f t="shared" si="8"/>
        <v>19.616295344132631</v>
      </c>
      <c r="G52" s="35">
        <f>VLOOKUP($A$11,'[1]6.2. отчет'!$D:$GJ,179,0)</f>
        <v>0</v>
      </c>
      <c r="H52" s="35">
        <f>VLOOKUP($A$11,'[1]6.2. отчет'!$D:$AGO,190,0)</f>
        <v>0</v>
      </c>
      <c r="I52" s="35">
        <f>VLOOKUP($A$11,'[1]6.2. отчет'!$D:$AGO,245,0)</f>
        <v>0</v>
      </c>
      <c r="J52" s="35">
        <f>VLOOKUP($A$11,'[1]6.2. отчет'!$D:$AGO,256,0)</f>
        <v>0</v>
      </c>
      <c r="K52" s="35">
        <f>VLOOKUP($A$11,'[1]6.2. отчет'!$D:$AGO,311,0)</f>
        <v>0</v>
      </c>
    </row>
    <row r="53" spans="1:11" s="57" customFormat="1" x14ac:dyDescent="0.25">
      <c r="A53" s="12" t="s">
        <v>63</v>
      </c>
      <c r="B53" s="8" t="s">
        <v>57</v>
      </c>
      <c r="C53" s="35">
        <f>VLOOKUP($A$11,'[1]6.2. отчет'!$D:$FX,168,0)</f>
        <v>0</v>
      </c>
      <c r="D53" s="35">
        <v>0</v>
      </c>
      <c r="E53" s="35">
        <f t="shared" si="5"/>
        <v>0</v>
      </c>
      <c r="F53" s="35">
        <f t="shared" si="8"/>
        <v>0</v>
      </c>
      <c r="G53" s="35">
        <f>VLOOKUP($A$11,'[1]6.2. отчет'!$D:$GJ,180,0)</f>
        <v>0</v>
      </c>
      <c r="H53" s="35">
        <f>VLOOKUP($A$11,'[1]6.2. отчет'!$D:$AGO,191,0)</f>
        <v>0</v>
      </c>
      <c r="I53" s="35">
        <f>VLOOKUP($A$11,'[1]6.2. отчет'!$D:$AGO,246,0)</f>
        <v>0</v>
      </c>
      <c r="J53" s="35">
        <f>VLOOKUP($A$11,'[1]6.2. отчет'!$D:$AGO,257,0)</f>
        <v>0</v>
      </c>
      <c r="K53" s="35">
        <f>VLOOKUP($A$11,'[1]6.2. отчет'!$D:$AGO,312,0)</f>
        <v>0</v>
      </c>
    </row>
    <row r="54" spans="1:11" s="57" customFormat="1" x14ac:dyDescent="0.25">
      <c r="A54" s="12" t="s">
        <v>62</v>
      </c>
      <c r="B54" s="36" t="s">
        <v>56</v>
      </c>
      <c r="C54" s="35">
        <f>VLOOKUP($A$11,'[1]6.2. отчет'!$D:$FX,169,0)</f>
        <v>0</v>
      </c>
      <c r="D54" s="35">
        <v>0</v>
      </c>
      <c r="E54" s="35">
        <f t="shared" si="5"/>
        <v>0</v>
      </c>
      <c r="F54" s="35">
        <f t="shared" si="8"/>
        <v>0</v>
      </c>
      <c r="G54" s="35">
        <f>VLOOKUP($A$11,'[1]6.2. отчет'!$D:$GJ,181,0)</f>
        <v>0</v>
      </c>
      <c r="H54" s="35">
        <f>VLOOKUP($A$11,'[1]6.2. отчет'!$D:$AGO,192,0)</f>
        <v>0</v>
      </c>
      <c r="I54" s="35">
        <f>VLOOKUP($A$11,'[1]6.2. отчет'!$D:$AGO,247,0)</f>
        <v>0</v>
      </c>
      <c r="J54" s="35">
        <f>VLOOKUP($A$11,'[1]6.2. отчет'!$D:$AGO,258,0)</f>
        <v>0</v>
      </c>
      <c r="K54" s="35">
        <f>VLOOKUP($A$11,'[1]6.2. отчет'!$D:$AGO,313,0)</f>
        <v>0</v>
      </c>
    </row>
    <row r="55" spans="1:11" s="57" customFormat="1" x14ac:dyDescent="0.25">
      <c r="A55" s="12" t="s">
        <v>61</v>
      </c>
      <c r="B55" s="36" t="s">
        <v>55</v>
      </c>
      <c r="C55" s="35">
        <f>VLOOKUP($A$11,'[1]6.2. отчет'!$D:$FX,170,0)</f>
        <v>0</v>
      </c>
      <c r="D55" s="35">
        <v>0</v>
      </c>
      <c r="E55" s="35">
        <f t="shared" si="5"/>
        <v>0</v>
      </c>
      <c r="F55" s="35">
        <f t="shared" si="8"/>
        <v>0</v>
      </c>
      <c r="G55" s="35">
        <f>VLOOKUP($A$11,'[1]6.2. отчет'!$D:$GJ,182,0)</f>
        <v>0</v>
      </c>
      <c r="H55" s="35">
        <f>VLOOKUP($A$11,'[1]6.2. отчет'!$D:$AGO,193,0)</f>
        <v>0</v>
      </c>
      <c r="I55" s="35">
        <f>VLOOKUP($A$11,'[1]6.2. отчет'!$D:$AGO,248,0)</f>
        <v>0</v>
      </c>
      <c r="J55" s="35">
        <f>VLOOKUP($A$11,'[1]6.2. отчет'!$D:$AGO,259,0)</f>
        <v>0</v>
      </c>
      <c r="K55" s="35">
        <f>VLOOKUP($A$11,'[1]6.2. отчет'!$D:$AGO,314,0)</f>
        <v>0</v>
      </c>
    </row>
    <row r="56" spans="1:11" s="57" customFormat="1" x14ac:dyDescent="0.25">
      <c r="A56" s="12" t="s">
        <v>60</v>
      </c>
      <c r="B56" s="36" t="s">
        <v>54</v>
      </c>
      <c r="C56" s="35">
        <f>VLOOKUP($A$11,'[1]6.2. отчет'!$D:$FX,171,0)</f>
        <v>0</v>
      </c>
      <c r="D56" s="35">
        <v>0</v>
      </c>
      <c r="E56" s="35">
        <f t="shared" si="5"/>
        <v>0</v>
      </c>
      <c r="F56" s="35">
        <f t="shared" si="8"/>
        <v>0</v>
      </c>
      <c r="G56" s="35">
        <f>VLOOKUP($A$11,'[1]6.2. отчет'!$D:$GJ,183,0)</f>
        <v>0</v>
      </c>
      <c r="H56" s="35">
        <f>VLOOKUP($A$11,'[1]6.2. отчет'!$D:$AGO,194,0)</f>
        <v>0</v>
      </c>
      <c r="I56" s="35">
        <f>VLOOKUP($A$11,'[1]6.2. отчет'!$D:$AGO,249,0)</f>
        <v>0</v>
      </c>
      <c r="J56" s="35">
        <f>VLOOKUP($A$11,'[1]6.2. отчет'!$D:$AGO,260,0)</f>
        <v>0</v>
      </c>
      <c r="K56" s="35">
        <f>VLOOKUP($A$11,'[1]6.2. отчет'!$D:$AGO,315,0)</f>
        <v>0</v>
      </c>
    </row>
    <row r="57" spans="1:11" s="81" customFormat="1" ht="36.75" customHeight="1" x14ac:dyDescent="0.25">
      <c r="A57" s="12" t="s">
        <v>59</v>
      </c>
      <c r="B57" s="8" t="s">
        <v>468</v>
      </c>
      <c r="C57" s="35">
        <f>VLOOKUP($A$11,'[1]6.2. отчет'!$D:$FX,177,0)</f>
        <v>1</v>
      </c>
      <c r="D57" s="35">
        <v>0</v>
      </c>
      <c r="E57" s="35">
        <f t="shared" si="5"/>
        <v>1</v>
      </c>
      <c r="F57" s="35">
        <f t="shared" si="8"/>
        <v>1</v>
      </c>
      <c r="G57" s="35">
        <f>VLOOKUP($A$11,'[1]6.2. отчет'!$D:$GJ,189,0)</f>
        <v>0</v>
      </c>
      <c r="H57" s="35">
        <f>VLOOKUP($A$11,'[1]6.2. отчет'!$D:$AGO,200,0)</f>
        <v>0</v>
      </c>
      <c r="I57" s="35">
        <f>VLOOKUP($A$11,'[1]6.2. отчет'!$D:$AGO,255,0)</f>
        <v>0</v>
      </c>
      <c r="J57" s="35">
        <f>VLOOKUP($A$11,'[1]6.2. отчет'!$D:$AGO,266,0)</f>
        <v>0</v>
      </c>
      <c r="K57" s="35">
        <f>VLOOKUP($A$11,'[1]6.2. отчет'!$D:$AGO,321,0)</f>
        <v>0</v>
      </c>
    </row>
    <row r="58" spans="1:11" s="57" customFormat="1" ht="31.5" x14ac:dyDescent="0.25">
      <c r="A58" s="14" t="s">
        <v>12</v>
      </c>
      <c r="B58" s="37" t="s">
        <v>153</v>
      </c>
      <c r="C58" s="35"/>
      <c r="D58" s="35"/>
      <c r="E58" s="35"/>
      <c r="F58" s="35">
        <f t="shared" si="8"/>
        <v>0</v>
      </c>
      <c r="G58" s="35"/>
      <c r="H58" s="35"/>
      <c r="I58" s="56"/>
      <c r="J58" s="35"/>
      <c r="K58" s="56"/>
    </row>
    <row r="59" spans="1:11" s="57" customFormat="1" x14ac:dyDescent="0.25">
      <c r="A59" s="14" t="s">
        <v>10</v>
      </c>
      <c r="B59" s="13" t="s">
        <v>58</v>
      </c>
      <c r="C59" s="35"/>
      <c r="D59" s="35"/>
      <c r="E59" s="35"/>
      <c r="F59" s="35">
        <f t="shared" si="8"/>
        <v>0</v>
      </c>
      <c r="G59" s="35"/>
      <c r="H59" s="35"/>
      <c r="I59" s="56"/>
      <c r="J59" s="35"/>
      <c r="K59" s="56"/>
    </row>
    <row r="60" spans="1:11" s="57" customFormat="1" x14ac:dyDescent="0.25">
      <c r="A60" s="12" t="s">
        <v>147</v>
      </c>
      <c r="B60" s="38" t="s">
        <v>78</v>
      </c>
      <c r="C60" s="35">
        <f>VLOOKUP($A$11,'[1]6.2. отчет'!$D:$AGO,326,0)</f>
        <v>0</v>
      </c>
      <c r="D60" s="35">
        <v>0</v>
      </c>
      <c r="E60" s="35">
        <f t="shared" ref="E60:E64" si="9">F60+G60</f>
        <v>0</v>
      </c>
      <c r="F60" s="35">
        <f t="shared" si="8"/>
        <v>0</v>
      </c>
      <c r="G60" s="35">
        <f>VLOOKUP($A$11,'[1]6.2. отчет'!$D:$AGO,333,0)</f>
        <v>0</v>
      </c>
      <c r="H60" s="35">
        <f>VLOOKUP($A$11,'[1]6.2. отчет'!$D:$AGO,341,0)</f>
        <v>0</v>
      </c>
      <c r="I60" s="35">
        <f>VLOOKUP($A$11,'[1]6.2. отчет'!$D:$AGO,366,0)</f>
        <v>0</v>
      </c>
      <c r="J60" s="35">
        <f>VLOOKUP($A$11,'[1]6.2. отчет'!$D:$AGO,371,0)</f>
        <v>0</v>
      </c>
      <c r="K60" s="35">
        <f>VLOOKUP($A$11,'[1]6.2. отчет'!$D:$AGO,396,0)</f>
        <v>0</v>
      </c>
    </row>
    <row r="61" spans="1:11" s="57" customFormat="1" x14ac:dyDescent="0.25">
      <c r="A61" s="12" t="s">
        <v>148</v>
      </c>
      <c r="B61" s="38" t="s">
        <v>76</v>
      </c>
      <c r="C61" s="35">
        <f>VLOOKUP($A$11,'[1]6.2. отчет'!$D:$AGO,327,0)</f>
        <v>0</v>
      </c>
      <c r="D61" s="35">
        <v>0</v>
      </c>
      <c r="E61" s="35">
        <f t="shared" si="9"/>
        <v>0</v>
      </c>
      <c r="F61" s="35">
        <f t="shared" si="8"/>
        <v>0</v>
      </c>
      <c r="G61" s="35">
        <f>VLOOKUP($A$11,'[1]6.2. отчет'!$D:$AGO,334,0)</f>
        <v>0</v>
      </c>
      <c r="H61" s="35">
        <f>VLOOKUP($A$11,'[1]6.2. отчет'!$D:$AGO,338,0)</f>
        <v>0</v>
      </c>
      <c r="I61" s="35">
        <f>VLOOKUP($A$11,'[1]6.2. отчет'!$D:$AGO,363,0)</f>
        <v>0</v>
      </c>
      <c r="J61" s="35">
        <f>VLOOKUP($A$11,'[1]6.2. отчет'!$D:$AGO,368,0)</f>
        <v>0</v>
      </c>
      <c r="K61" s="35">
        <f>VLOOKUP($A$11,'[1]6.2. отчет'!$D:$AGO,393,0)</f>
        <v>0</v>
      </c>
    </row>
    <row r="62" spans="1:11" s="57" customFormat="1" x14ac:dyDescent="0.25">
      <c r="A62" s="12" t="s">
        <v>149</v>
      </c>
      <c r="B62" s="38" t="s">
        <v>74</v>
      </c>
      <c r="C62" s="35">
        <f>VLOOKUP($A$11,'[1]6.2. отчет'!$D:$AGO,328,0)</f>
        <v>0</v>
      </c>
      <c r="D62" s="35">
        <v>0</v>
      </c>
      <c r="E62" s="35">
        <f t="shared" si="9"/>
        <v>0</v>
      </c>
      <c r="F62" s="35">
        <f t="shared" si="8"/>
        <v>0</v>
      </c>
      <c r="G62" s="35">
        <f>VLOOKUP($A$11,'[1]6.2. отчет'!$D:$AGO,335,0)</f>
        <v>0</v>
      </c>
      <c r="H62" s="35">
        <f>VLOOKUP($A$11,'[1]6.2. отчет'!$D:$AGO,339,0)</f>
        <v>0</v>
      </c>
      <c r="I62" s="35">
        <f>VLOOKUP($A$11,'[1]6.2. отчет'!$D:$AGO,364,0)</f>
        <v>0</v>
      </c>
      <c r="J62" s="35">
        <f>VLOOKUP($A$11,'[1]6.2. отчет'!$D:$AGO,369,0)</f>
        <v>0</v>
      </c>
      <c r="K62" s="35">
        <f>VLOOKUP($A$11,'[1]6.2. отчет'!$D:$AGO,394,0)</f>
        <v>0</v>
      </c>
    </row>
    <row r="63" spans="1:11" x14ac:dyDescent="0.25">
      <c r="A63" s="12" t="s">
        <v>150</v>
      </c>
      <c r="B63" s="38" t="s">
        <v>152</v>
      </c>
      <c r="C63" s="35">
        <f>VLOOKUP($A$11,'[1]6.2. отчет'!$D:$AGO,329,0)</f>
        <v>0</v>
      </c>
      <c r="D63" s="35">
        <v>0</v>
      </c>
      <c r="E63" s="35">
        <f t="shared" si="9"/>
        <v>0</v>
      </c>
      <c r="F63" s="35">
        <f t="shared" si="8"/>
        <v>0</v>
      </c>
      <c r="G63" s="35">
        <f>VLOOKUP($A$11,'[1]6.2. отчет'!$D:$AGO,336,0)</f>
        <v>0</v>
      </c>
      <c r="H63" s="35">
        <f>VLOOKUP($A$11,'[1]6.2. отчет'!$D:$AGO,340,0)</f>
        <v>0</v>
      </c>
      <c r="I63" s="35">
        <f>VLOOKUP($A$11,'[1]6.2. отчет'!$D:$AGO,365,0)</f>
        <v>0</v>
      </c>
      <c r="J63" s="35">
        <f>VLOOKUP($A$11,'[1]6.2. отчет'!$D:$AGO,370,0)</f>
        <v>0</v>
      </c>
      <c r="K63" s="35">
        <f>VLOOKUP($A$11,'[1]6.2. отчет'!$D:$AGO,395,0)</f>
        <v>0</v>
      </c>
    </row>
    <row r="64" spans="1:11" ht="54" customHeight="1" x14ac:dyDescent="0.25">
      <c r="A64" s="12" t="s">
        <v>151</v>
      </c>
      <c r="B64" s="36" t="s">
        <v>53</v>
      </c>
      <c r="C64" s="35">
        <f>VLOOKUP($A$11,'[1]6.2. отчет'!$D:$AGO,330,0)</f>
        <v>0</v>
      </c>
      <c r="D64" s="35">
        <v>0</v>
      </c>
      <c r="E64" s="35">
        <f t="shared" si="9"/>
        <v>0</v>
      </c>
      <c r="F64" s="35">
        <f t="shared" si="8"/>
        <v>0</v>
      </c>
      <c r="G64" s="35">
        <f>VLOOKUP($A$11,'[1]6.2. отчет'!$D:$AGO,337,0)</f>
        <v>0</v>
      </c>
      <c r="H64" s="35">
        <f>VLOOKUP($A$11,'[1]6.2. отчет'!$D:$AGO,342,0)</f>
        <v>0</v>
      </c>
      <c r="I64" s="35">
        <f>VLOOKUP($A$11,'[1]6.2. отчет'!$D:$AGO,367,0)</f>
        <v>0</v>
      </c>
      <c r="J64" s="35">
        <f>VLOOKUP($A$11,'[1]6.2. отчет'!$D:$AGO,372,0)</f>
        <v>0</v>
      </c>
      <c r="K64" s="35">
        <f>VLOOKUP($A$11,'[1]6.2. отчет'!$D:$AGO,396,0)</f>
        <v>0</v>
      </c>
    </row>
    <row r="66" spans="2:11" ht="50.25" customHeight="1" x14ac:dyDescent="0.25">
      <c r="B66" s="262"/>
      <c r="C66" s="262"/>
      <c r="D66" s="262"/>
      <c r="E66" s="262"/>
      <c r="F66" s="262"/>
      <c r="G66" s="262"/>
      <c r="H66" s="262"/>
      <c r="I66" s="262"/>
      <c r="J66" s="262"/>
      <c r="K66" s="262"/>
    </row>
    <row r="68" spans="2:11" ht="36.75" customHeight="1" x14ac:dyDescent="0.25">
      <c r="B68" s="263"/>
      <c r="C68" s="263"/>
      <c r="D68" s="263"/>
      <c r="E68" s="263"/>
      <c r="F68" s="263"/>
      <c r="G68" s="263"/>
      <c r="H68" s="263"/>
      <c r="I68" s="263"/>
      <c r="J68" s="263"/>
      <c r="K68" s="263"/>
    </row>
    <row r="69" spans="2:11" x14ac:dyDescent="0.25">
      <c r="B69" s="11"/>
      <c r="C69" s="11"/>
      <c r="D69" s="55"/>
      <c r="E69" s="55"/>
      <c r="F69" s="55"/>
    </row>
    <row r="70" spans="2:11" ht="51" customHeight="1" x14ac:dyDescent="0.25">
      <c r="B70" s="263"/>
      <c r="C70" s="263"/>
      <c r="D70" s="263"/>
      <c r="E70" s="263"/>
      <c r="F70" s="263"/>
      <c r="G70" s="263"/>
      <c r="H70" s="263"/>
      <c r="I70" s="263"/>
      <c r="J70" s="263"/>
      <c r="K70" s="263"/>
    </row>
    <row r="71" spans="2:11" ht="32.25" customHeight="1" x14ac:dyDescent="0.25">
      <c r="B71" s="262"/>
      <c r="C71" s="262"/>
      <c r="D71" s="262"/>
      <c r="E71" s="262"/>
      <c r="F71" s="262"/>
      <c r="G71" s="262"/>
      <c r="H71" s="262"/>
      <c r="I71" s="262"/>
      <c r="J71" s="262"/>
      <c r="K71" s="262"/>
    </row>
    <row r="72" spans="2:11" ht="51.75" customHeight="1" x14ac:dyDescent="0.25">
      <c r="B72" s="263"/>
      <c r="C72" s="263"/>
      <c r="D72" s="263"/>
      <c r="E72" s="263"/>
      <c r="F72" s="263"/>
      <c r="G72" s="263"/>
      <c r="H72" s="263"/>
      <c r="I72" s="263"/>
      <c r="J72" s="263"/>
      <c r="K72" s="263"/>
    </row>
    <row r="73" spans="2:11" ht="21.75" customHeight="1" x14ac:dyDescent="0.25">
      <c r="B73" s="264"/>
      <c r="C73" s="264"/>
      <c r="D73" s="264"/>
      <c r="E73" s="264"/>
      <c r="F73" s="264"/>
      <c r="G73" s="264"/>
      <c r="H73" s="264"/>
      <c r="I73" s="264"/>
      <c r="J73" s="264"/>
      <c r="K73" s="264"/>
    </row>
    <row r="74" spans="2:11" ht="23.25" customHeight="1" x14ac:dyDescent="0.25">
      <c r="B74" s="10"/>
      <c r="C74" s="10"/>
      <c r="D74" s="55"/>
      <c r="E74" s="55"/>
      <c r="F74" s="55"/>
    </row>
    <row r="75" spans="2:11" ht="18.75" customHeight="1" x14ac:dyDescent="0.25">
      <c r="B75" s="261"/>
      <c r="C75" s="261"/>
      <c r="D75" s="261"/>
      <c r="E75" s="261"/>
      <c r="F75" s="261"/>
      <c r="G75" s="261"/>
      <c r="H75" s="261"/>
      <c r="I75" s="261"/>
      <c r="J75" s="261"/>
      <c r="K75" s="261"/>
    </row>
  </sheetData>
  <mergeCells count="25">
    <mergeCell ref="A16:K16"/>
    <mergeCell ref="A14:K14"/>
    <mergeCell ref="A15:K15"/>
    <mergeCell ref="A4:K4"/>
    <mergeCell ref="A6:K6"/>
    <mergeCell ref="A8:K8"/>
    <mergeCell ref="A9:K9"/>
    <mergeCell ref="A11:K11"/>
    <mergeCell ref="A12:K12"/>
    <mergeCell ref="A18:K18"/>
    <mergeCell ref="A20:A22"/>
    <mergeCell ref="B20:B22"/>
    <mergeCell ref="C20:D21"/>
    <mergeCell ref="E20:F21"/>
    <mergeCell ref="H20:K20"/>
    <mergeCell ref="H21:I21"/>
    <mergeCell ref="J21:K21"/>
    <mergeCell ref="G20:G22"/>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zoomScale="70" zoomScaleNormal="100" zoomScaleSheetLayoutView="70" workbookViewId="0">
      <selection activeCell="J23" sqref="J23:J24"/>
    </sheetView>
  </sheetViews>
  <sheetFormatPr defaultRowHeight="15" x14ac:dyDescent="0.25"/>
  <cols>
    <col min="1" max="1" width="6.140625" style="89" customWidth="1"/>
    <col min="2" max="2" width="23.140625" style="89" customWidth="1"/>
    <col min="3" max="3" width="13.85546875" style="89" customWidth="1"/>
    <col min="4" max="4" width="15.140625" style="89" customWidth="1"/>
    <col min="5" max="12" width="7.7109375" style="89" customWidth="1"/>
    <col min="13" max="15" width="10.7109375" style="89" customWidth="1"/>
    <col min="16" max="17" width="13.42578125" style="89" customWidth="1"/>
    <col min="18" max="18" width="17" style="89" customWidth="1"/>
    <col min="19" max="20" width="9.7109375" style="89" customWidth="1"/>
    <col min="21" max="21" width="11.42578125" style="89" customWidth="1"/>
    <col min="22" max="22" width="12.7109375" style="89" customWidth="1"/>
    <col min="23" max="25" width="10.7109375" style="89" customWidth="1"/>
    <col min="26" max="26" width="7.7109375" style="89" customWidth="1"/>
    <col min="27" max="27" width="14.5703125" style="89" customWidth="1"/>
    <col min="28" max="30" width="10.7109375" style="89" customWidth="1"/>
    <col min="31" max="31" width="15.85546875" style="89" customWidth="1"/>
    <col min="32" max="32" width="13.42578125" style="89" customWidth="1"/>
    <col min="33" max="33" width="11.5703125" style="89" customWidth="1"/>
    <col min="34" max="34" width="12.140625" style="89" customWidth="1"/>
    <col min="35" max="35" width="12.42578125" style="89" customWidth="1"/>
    <col min="36" max="36" width="11.7109375" style="89" customWidth="1"/>
    <col min="37" max="37" width="12" style="89" customWidth="1"/>
    <col min="38" max="39" width="12.28515625" style="89" customWidth="1"/>
    <col min="40" max="41" width="9.7109375" style="89" customWidth="1"/>
    <col min="42" max="16384" width="9.140625" style="89"/>
  </cols>
  <sheetData>
    <row r="5" spans="1:41" ht="18.75" customHeight="1" x14ac:dyDescent="0.25">
      <c r="A5" s="193" t="str">
        <f>'1. паспорт местоположение'!$A$5</f>
        <v>Год раскрытия информации: 2019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row>
    <row r="7" spans="1:41" ht="18.75" x14ac:dyDescent="0.25">
      <c r="A7" s="197" t="s">
        <v>5</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row>
    <row r="8" spans="1:41" ht="18.75" x14ac:dyDescent="0.25">
      <c r="A8" s="197"/>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row>
    <row r="9" spans="1:41" ht="15.75" x14ac:dyDescent="0.25">
      <c r="A9" s="198" t="s">
        <v>286</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row>
    <row r="10" spans="1:41" ht="15.75" x14ac:dyDescent="0.2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row>
    <row r="11" spans="1:41" ht="18.75" x14ac:dyDescent="0.25">
      <c r="A11" s="19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row>
    <row r="12" spans="1:41" ht="15.75" x14ac:dyDescent="0.25">
      <c r="A12" s="198" t="str">
        <f>'1. паспорт местоположение'!$A$12</f>
        <v>H_Che82</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ht="15.75" x14ac:dyDescent="0.25">
      <c r="A13" s="199" t="s">
        <v>3</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row>
    <row r="14" spans="1:4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ht="22.5" customHeight="1" x14ac:dyDescent="0.25">
      <c r="A15" s="198"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ht="15.75" x14ac:dyDescent="0.25">
      <c r="A16" s="199" t="s">
        <v>2</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row>
    <row r="17" spans="1:41"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row>
    <row r="18" spans="1:41"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row>
    <row r="19" spans="1:41"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row>
    <row r="20" spans="1:4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row>
    <row r="21" spans="1:41" x14ac:dyDescent="0.25">
      <c r="A21" s="271" t="s">
        <v>294</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row>
    <row r="22" spans="1:41" ht="58.5" customHeight="1" x14ac:dyDescent="0.25">
      <c r="A22" s="272" t="s">
        <v>295</v>
      </c>
      <c r="B22" s="275" t="s">
        <v>469</v>
      </c>
      <c r="C22" s="272" t="s">
        <v>296</v>
      </c>
      <c r="D22" s="272" t="s">
        <v>297</v>
      </c>
      <c r="E22" s="278" t="s">
        <v>298</v>
      </c>
      <c r="F22" s="279"/>
      <c r="G22" s="279"/>
      <c r="H22" s="279"/>
      <c r="I22" s="279"/>
      <c r="J22" s="279"/>
      <c r="K22" s="279"/>
      <c r="L22" s="280"/>
      <c r="M22" s="272" t="s">
        <v>299</v>
      </c>
      <c r="N22" s="272" t="s">
        <v>300</v>
      </c>
      <c r="O22" s="272" t="s">
        <v>301</v>
      </c>
      <c r="P22" s="281" t="s">
        <v>302</v>
      </c>
      <c r="Q22" s="281" t="s">
        <v>303</v>
      </c>
      <c r="R22" s="281" t="s">
        <v>304</v>
      </c>
      <c r="S22" s="281" t="s">
        <v>305</v>
      </c>
      <c r="T22" s="281"/>
      <c r="U22" s="292" t="s">
        <v>306</v>
      </c>
      <c r="V22" s="292" t="s">
        <v>307</v>
      </c>
      <c r="W22" s="281" t="s">
        <v>308</v>
      </c>
      <c r="X22" s="281" t="s">
        <v>309</v>
      </c>
      <c r="Y22" s="281" t="s">
        <v>310</v>
      </c>
      <c r="Z22" s="293" t="s">
        <v>311</v>
      </c>
      <c r="AA22" s="281" t="s">
        <v>312</v>
      </c>
      <c r="AB22" s="281" t="s">
        <v>313</v>
      </c>
      <c r="AC22" s="281" t="s">
        <v>314</v>
      </c>
      <c r="AD22" s="281" t="s">
        <v>315</v>
      </c>
      <c r="AE22" s="281" t="s">
        <v>316</v>
      </c>
      <c r="AF22" s="281" t="s">
        <v>317</v>
      </c>
      <c r="AG22" s="281"/>
      <c r="AH22" s="281"/>
      <c r="AI22" s="281" t="s">
        <v>318</v>
      </c>
      <c r="AJ22" s="281"/>
      <c r="AK22" s="281" t="s">
        <v>319</v>
      </c>
      <c r="AL22" s="281" t="s">
        <v>320</v>
      </c>
      <c r="AM22" s="281" t="s">
        <v>321</v>
      </c>
      <c r="AN22" s="281" t="s">
        <v>322</v>
      </c>
      <c r="AO22" s="282" t="s">
        <v>323</v>
      </c>
    </row>
    <row r="23" spans="1:41" ht="64.5" customHeight="1" x14ac:dyDescent="0.25">
      <c r="A23" s="273"/>
      <c r="B23" s="276"/>
      <c r="C23" s="273"/>
      <c r="D23" s="273"/>
      <c r="E23" s="294" t="s">
        <v>324</v>
      </c>
      <c r="F23" s="288" t="s">
        <v>57</v>
      </c>
      <c r="G23" s="288" t="s">
        <v>56</v>
      </c>
      <c r="H23" s="288" t="s">
        <v>55</v>
      </c>
      <c r="I23" s="286" t="s">
        <v>325</v>
      </c>
      <c r="J23" s="286" t="s">
        <v>326</v>
      </c>
      <c r="K23" s="286" t="s">
        <v>327</v>
      </c>
      <c r="L23" s="288" t="s">
        <v>328</v>
      </c>
      <c r="M23" s="273"/>
      <c r="N23" s="273"/>
      <c r="O23" s="273"/>
      <c r="P23" s="281"/>
      <c r="Q23" s="281"/>
      <c r="R23" s="281"/>
      <c r="S23" s="290" t="s">
        <v>0</v>
      </c>
      <c r="T23" s="290" t="s">
        <v>329</v>
      </c>
      <c r="U23" s="292"/>
      <c r="V23" s="292"/>
      <c r="W23" s="281"/>
      <c r="X23" s="281"/>
      <c r="Y23" s="281"/>
      <c r="Z23" s="281"/>
      <c r="AA23" s="281"/>
      <c r="AB23" s="281"/>
      <c r="AC23" s="281"/>
      <c r="AD23" s="281"/>
      <c r="AE23" s="281"/>
      <c r="AF23" s="281" t="s">
        <v>330</v>
      </c>
      <c r="AG23" s="281"/>
      <c r="AH23" s="272" t="s">
        <v>331</v>
      </c>
      <c r="AI23" s="272" t="s">
        <v>332</v>
      </c>
      <c r="AJ23" s="284" t="s">
        <v>329</v>
      </c>
      <c r="AK23" s="281"/>
      <c r="AL23" s="281"/>
      <c r="AM23" s="281"/>
      <c r="AN23" s="281"/>
      <c r="AO23" s="283"/>
    </row>
    <row r="24" spans="1:41" ht="96.75" customHeight="1" x14ac:dyDescent="0.25">
      <c r="A24" s="274"/>
      <c r="B24" s="277"/>
      <c r="C24" s="274"/>
      <c r="D24" s="274"/>
      <c r="E24" s="295"/>
      <c r="F24" s="289"/>
      <c r="G24" s="289"/>
      <c r="H24" s="289"/>
      <c r="I24" s="287"/>
      <c r="J24" s="287"/>
      <c r="K24" s="287"/>
      <c r="L24" s="289"/>
      <c r="M24" s="274"/>
      <c r="N24" s="274"/>
      <c r="O24" s="274"/>
      <c r="P24" s="281"/>
      <c r="Q24" s="281"/>
      <c r="R24" s="281"/>
      <c r="S24" s="291"/>
      <c r="T24" s="291"/>
      <c r="U24" s="292"/>
      <c r="V24" s="292"/>
      <c r="W24" s="281"/>
      <c r="X24" s="281"/>
      <c r="Y24" s="281"/>
      <c r="Z24" s="281"/>
      <c r="AA24" s="281"/>
      <c r="AB24" s="281"/>
      <c r="AC24" s="281"/>
      <c r="AD24" s="281"/>
      <c r="AE24" s="281"/>
      <c r="AF24" s="90" t="s">
        <v>333</v>
      </c>
      <c r="AG24" s="90" t="s">
        <v>334</v>
      </c>
      <c r="AH24" s="274"/>
      <c r="AI24" s="274"/>
      <c r="AJ24" s="285"/>
      <c r="AK24" s="281"/>
      <c r="AL24" s="281"/>
      <c r="AM24" s="281"/>
      <c r="AN24" s="281"/>
      <c r="AO24" s="283"/>
    </row>
    <row r="25" spans="1:41" s="92" customFormat="1" ht="11.25" x14ac:dyDescent="0.2">
      <c r="A25" s="91">
        <v>1</v>
      </c>
      <c r="B25" s="91">
        <v>2</v>
      </c>
      <c r="C25" s="91">
        <v>4</v>
      </c>
      <c r="D25" s="91">
        <v>5</v>
      </c>
      <c r="E25" s="91">
        <v>6</v>
      </c>
      <c r="F25" s="91">
        <f>E25+1</f>
        <v>7</v>
      </c>
      <c r="G25" s="91">
        <f t="shared" ref="G25:AO25" si="0">F25+1</f>
        <v>8</v>
      </c>
      <c r="H25" s="91">
        <f t="shared" si="0"/>
        <v>9</v>
      </c>
      <c r="I25" s="91">
        <f t="shared" si="0"/>
        <v>10</v>
      </c>
      <c r="J25" s="91">
        <f t="shared" si="0"/>
        <v>11</v>
      </c>
      <c r="K25" s="91">
        <f t="shared" si="0"/>
        <v>12</v>
      </c>
      <c r="L25" s="91">
        <f t="shared" si="0"/>
        <v>13</v>
      </c>
      <c r="M25" s="91">
        <f t="shared" si="0"/>
        <v>14</v>
      </c>
      <c r="N25" s="91">
        <f t="shared" si="0"/>
        <v>15</v>
      </c>
      <c r="O25" s="91">
        <f t="shared" si="0"/>
        <v>16</v>
      </c>
      <c r="P25" s="91">
        <f t="shared" si="0"/>
        <v>17</v>
      </c>
      <c r="Q25" s="91">
        <f t="shared" si="0"/>
        <v>18</v>
      </c>
      <c r="R25" s="91">
        <f t="shared" si="0"/>
        <v>19</v>
      </c>
      <c r="S25" s="91">
        <f t="shared" si="0"/>
        <v>20</v>
      </c>
      <c r="T25" s="91">
        <f t="shared" si="0"/>
        <v>21</v>
      </c>
      <c r="U25" s="91">
        <f t="shared" si="0"/>
        <v>22</v>
      </c>
      <c r="V25" s="91">
        <f t="shared" si="0"/>
        <v>23</v>
      </c>
      <c r="W25" s="91">
        <f t="shared" si="0"/>
        <v>24</v>
      </c>
      <c r="X25" s="91">
        <f t="shared" si="0"/>
        <v>25</v>
      </c>
      <c r="Y25" s="91">
        <f t="shared" si="0"/>
        <v>26</v>
      </c>
      <c r="Z25" s="91">
        <f t="shared" si="0"/>
        <v>27</v>
      </c>
      <c r="AA25" s="91">
        <f t="shared" si="0"/>
        <v>28</v>
      </c>
      <c r="AB25" s="91">
        <f t="shared" si="0"/>
        <v>29</v>
      </c>
      <c r="AC25" s="91">
        <f t="shared" si="0"/>
        <v>30</v>
      </c>
      <c r="AD25" s="91">
        <f t="shared" si="0"/>
        <v>31</v>
      </c>
      <c r="AE25" s="91">
        <f t="shared" si="0"/>
        <v>32</v>
      </c>
      <c r="AF25" s="91">
        <f t="shared" si="0"/>
        <v>33</v>
      </c>
      <c r="AG25" s="91">
        <f t="shared" si="0"/>
        <v>34</v>
      </c>
      <c r="AH25" s="91">
        <f t="shared" si="0"/>
        <v>35</v>
      </c>
      <c r="AI25" s="91">
        <f t="shared" si="0"/>
        <v>36</v>
      </c>
      <c r="AJ25" s="91">
        <f t="shared" si="0"/>
        <v>37</v>
      </c>
      <c r="AK25" s="91">
        <f t="shared" si="0"/>
        <v>38</v>
      </c>
      <c r="AL25" s="91">
        <f t="shared" si="0"/>
        <v>39</v>
      </c>
      <c r="AM25" s="91">
        <f t="shared" si="0"/>
        <v>40</v>
      </c>
      <c r="AN25" s="91">
        <f t="shared" si="0"/>
        <v>41</v>
      </c>
      <c r="AO25" s="91">
        <f t="shared" si="0"/>
        <v>42</v>
      </c>
    </row>
    <row r="26" spans="1:41" ht="36" customHeight="1" x14ac:dyDescent="0.25">
      <c r="A26" s="93">
        <v>1</v>
      </c>
      <c r="B26" s="94" t="s">
        <v>339</v>
      </c>
      <c r="C26" s="94" t="s">
        <v>339</v>
      </c>
      <c r="D26" s="94" t="s">
        <v>339</v>
      </c>
      <c r="E26" s="94" t="s">
        <v>339</v>
      </c>
      <c r="F26" s="94" t="s">
        <v>339</v>
      </c>
      <c r="G26" s="94" t="s">
        <v>339</v>
      </c>
      <c r="H26" s="94" t="s">
        <v>339</v>
      </c>
      <c r="I26" s="94" t="s">
        <v>339</v>
      </c>
      <c r="J26" s="94" t="s">
        <v>339</v>
      </c>
      <c r="K26" s="94" t="s">
        <v>339</v>
      </c>
      <c r="L26" s="94" t="s">
        <v>339</v>
      </c>
      <c r="M26" s="94" t="s">
        <v>339</v>
      </c>
      <c r="N26" s="94" t="s">
        <v>339</v>
      </c>
      <c r="O26" s="94" t="s">
        <v>339</v>
      </c>
      <c r="P26" s="94" t="s">
        <v>339</v>
      </c>
      <c r="Q26" s="94" t="s">
        <v>339</v>
      </c>
      <c r="R26" s="94" t="s">
        <v>339</v>
      </c>
      <c r="S26" s="94" t="s">
        <v>339</v>
      </c>
      <c r="T26" s="94" t="s">
        <v>339</v>
      </c>
      <c r="U26" s="94" t="s">
        <v>339</v>
      </c>
      <c r="V26" s="94" t="s">
        <v>339</v>
      </c>
      <c r="W26" s="94" t="s">
        <v>339</v>
      </c>
      <c r="X26" s="94" t="s">
        <v>339</v>
      </c>
      <c r="Y26" s="94" t="s">
        <v>339</v>
      </c>
      <c r="Z26" s="94" t="s">
        <v>339</v>
      </c>
      <c r="AA26" s="94" t="s">
        <v>339</v>
      </c>
      <c r="AB26" s="94" t="s">
        <v>339</v>
      </c>
      <c r="AC26" s="94" t="s">
        <v>339</v>
      </c>
      <c r="AD26" s="94" t="s">
        <v>339</v>
      </c>
      <c r="AE26" s="94" t="s">
        <v>339</v>
      </c>
      <c r="AF26" s="94" t="s">
        <v>339</v>
      </c>
      <c r="AG26" s="94" t="s">
        <v>339</v>
      </c>
      <c r="AH26" s="94" t="s">
        <v>339</v>
      </c>
      <c r="AI26" s="94" t="s">
        <v>339</v>
      </c>
      <c r="AJ26" s="94" t="s">
        <v>339</v>
      </c>
      <c r="AK26" s="94" t="s">
        <v>339</v>
      </c>
      <c r="AL26" s="94" t="s">
        <v>339</v>
      </c>
      <c r="AM26" s="94" t="s">
        <v>339</v>
      </c>
      <c r="AN26" s="94" t="s">
        <v>339</v>
      </c>
      <c r="AO26" s="94" t="s">
        <v>339</v>
      </c>
    </row>
  </sheetData>
  <mergeCells count="60">
    <mergeCell ref="E23:E24"/>
    <mergeCell ref="F23:F24"/>
    <mergeCell ref="G23:G24"/>
    <mergeCell ref="H23:H24"/>
    <mergeCell ref="I23:I24"/>
    <mergeCell ref="AM22:AM24"/>
    <mergeCell ref="U22:U24"/>
    <mergeCell ref="V22:V24"/>
    <mergeCell ref="W22:W24"/>
    <mergeCell ref="X22:X24"/>
    <mergeCell ref="Y22:Y24"/>
    <mergeCell ref="Z22:Z24"/>
    <mergeCell ref="AH23:AH24"/>
    <mergeCell ref="AA22:AA24"/>
    <mergeCell ref="AB22:AB24"/>
    <mergeCell ref="AC22:AC24"/>
    <mergeCell ref="AD22:AD24"/>
    <mergeCell ref="AF23:AG23"/>
    <mergeCell ref="AF22:AH22"/>
    <mergeCell ref="AI22:AJ22"/>
    <mergeCell ref="AK22:AK24"/>
    <mergeCell ref="K23:K24"/>
    <mergeCell ref="L23:L24"/>
    <mergeCell ref="S23:S24"/>
    <mergeCell ref="T23:T24"/>
    <mergeCell ref="S22:T22"/>
    <mergeCell ref="AL22:AL24"/>
    <mergeCell ref="N22:N24"/>
    <mergeCell ref="O22:O24"/>
    <mergeCell ref="P22:P24"/>
    <mergeCell ref="Q22:Q24"/>
    <mergeCell ref="R22:R24"/>
    <mergeCell ref="A18:AO18"/>
    <mergeCell ref="A19:AO19"/>
    <mergeCell ref="A20:AO20"/>
    <mergeCell ref="A21:AO21"/>
    <mergeCell ref="A22:A24"/>
    <mergeCell ref="B22:B24"/>
    <mergeCell ref="C22:C24"/>
    <mergeCell ref="D22:D24"/>
    <mergeCell ref="E22:L22"/>
    <mergeCell ref="M22:M24"/>
    <mergeCell ref="AN22:AN24"/>
    <mergeCell ref="AO22:AO24"/>
    <mergeCell ref="AI23:AI24"/>
    <mergeCell ref="AJ23:AJ24"/>
    <mergeCell ref="AE22:AE24"/>
    <mergeCell ref="J23:J24"/>
    <mergeCell ref="A17:AO17"/>
    <mergeCell ref="A5:AO5"/>
    <mergeCell ref="A7:AO7"/>
    <mergeCell ref="A8:AO8"/>
    <mergeCell ref="A9:AO9"/>
    <mergeCell ref="A10:AO10"/>
    <mergeCell ref="A11:AO11"/>
    <mergeCell ref="A12:AO12"/>
    <mergeCell ref="A13:AO13"/>
    <mergeCell ref="A14:AO14"/>
    <mergeCell ref="A15:AO15"/>
    <mergeCell ref="A16:AO16"/>
  </mergeCells>
  <printOptions horizontalCentered="1"/>
  <pageMargins left="0.59055118110236227" right="0.59055118110236227" top="0.59055118110236227" bottom="0.59055118110236227" header="0" footer="0"/>
  <pageSetup paperSize="8" scale="4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E26" sqref="E26"/>
    </sheetView>
  </sheetViews>
  <sheetFormatPr defaultRowHeight="15.75" x14ac:dyDescent="0.25"/>
  <cols>
    <col min="1" max="1" width="77" style="24" customWidth="1"/>
    <col min="2" max="2" width="69.85546875" style="24" customWidth="1"/>
    <col min="3" max="16384" width="9.140625" style="25"/>
  </cols>
  <sheetData>
    <row r="1" spans="1:8" ht="18.75" x14ac:dyDescent="0.25">
      <c r="B1" s="47" t="s">
        <v>22</v>
      </c>
    </row>
    <row r="2" spans="1:8" ht="18.75" x14ac:dyDescent="0.3">
      <c r="B2" s="48" t="s">
        <v>6</v>
      </c>
    </row>
    <row r="3" spans="1:8" ht="18.75" x14ac:dyDescent="0.3">
      <c r="B3" s="48" t="s">
        <v>156</v>
      </c>
    </row>
    <row r="4" spans="1:8" x14ac:dyDescent="0.25">
      <c r="B4" s="7"/>
    </row>
    <row r="5" spans="1:8" ht="18.75" x14ac:dyDescent="0.3">
      <c r="A5" s="298" t="str">
        <f>'1. паспорт местоположение'!$A$5</f>
        <v>Год раскрытия информации: 2019 год</v>
      </c>
      <c r="B5" s="298"/>
      <c r="C5" s="19"/>
      <c r="D5" s="19"/>
      <c r="E5" s="19"/>
      <c r="F5" s="19"/>
      <c r="G5" s="19"/>
      <c r="H5" s="19"/>
    </row>
    <row r="6" spans="1:8" ht="18.75" x14ac:dyDescent="0.3">
      <c r="A6" s="78"/>
      <c r="B6" s="78"/>
      <c r="C6" s="78"/>
      <c r="D6" s="78"/>
      <c r="E6" s="78"/>
      <c r="F6" s="78"/>
      <c r="G6" s="78"/>
      <c r="H6" s="78"/>
    </row>
    <row r="7" spans="1:8" ht="18.75" x14ac:dyDescent="0.25">
      <c r="A7" s="197" t="s">
        <v>5</v>
      </c>
      <c r="B7" s="197"/>
      <c r="C7" s="79"/>
      <c r="D7" s="79"/>
      <c r="E7" s="79"/>
      <c r="F7" s="79"/>
      <c r="G7" s="79"/>
      <c r="H7" s="79"/>
    </row>
    <row r="8" spans="1:8" ht="18.75" x14ac:dyDescent="0.25">
      <c r="A8" s="79"/>
      <c r="B8" s="79"/>
      <c r="C8" s="79"/>
      <c r="D8" s="79"/>
      <c r="E8" s="79"/>
      <c r="F8" s="79"/>
      <c r="G8" s="79"/>
      <c r="H8" s="79"/>
    </row>
    <row r="9" spans="1:8" x14ac:dyDescent="0.25">
      <c r="A9" s="198" t="s">
        <v>286</v>
      </c>
      <c r="B9" s="198"/>
      <c r="C9" s="82"/>
      <c r="D9" s="82"/>
      <c r="E9" s="82"/>
      <c r="F9" s="82"/>
      <c r="G9" s="82"/>
      <c r="H9" s="82"/>
    </row>
    <row r="10" spans="1:8" x14ac:dyDescent="0.25">
      <c r="A10" s="199" t="s">
        <v>4</v>
      </c>
      <c r="B10" s="199"/>
      <c r="C10" s="83"/>
      <c r="D10" s="83"/>
      <c r="E10" s="83"/>
      <c r="F10" s="83"/>
      <c r="G10" s="83"/>
      <c r="H10" s="83"/>
    </row>
    <row r="11" spans="1:8" ht="18.75" x14ac:dyDescent="0.25">
      <c r="A11" s="79"/>
      <c r="B11" s="79"/>
      <c r="C11" s="79"/>
      <c r="D11" s="79"/>
      <c r="E11" s="79"/>
      <c r="F11" s="79"/>
      <c r="G11" s="79"/>
      <c r="H11" s="79"/>
    </row>
    <row r="12" spans="1:8" ht="30.75" customHeight="1" x14ac:dyDescent="0.25">
      <c r="A12" s="198" t="str">
        <f>'1. паспорт местоположение'!$A$12</f>
        <v>H_Che82</v>
      </c>
      <c r="B12" s="198"/>
      <c r="C12" s="82"/>
      <c r="D12" s="82"/>
      <c r="E12" s="82"/>
      <c r="F12" s="82"/>
      <c r="G12" s="82"/>
      <c r="H12" s="82"/>
    </row>
    <row r="13" spans="1:8" x14ac:dyDescent="0.25">
      <c r="A13" s="199" t="s">
        <v>3</v>
      </c>
      <c r="B13" s="199"/>
      <c r="C13" s="83"/>
      <c r="D13" s="83"/>
      <c r="E13" s="83"/>
      <c r="F13" s="83"/>
      <c r="G13" s="83"/>
      <c r="H13" s="83"/>
    </row>
    <row r="14" spans="1:8" ht="18.75" x14ac:dyDescent="0.25">
      <c r="A14" s="1"/>
      <c r="B14" s="1"/>
      <c r="C14" s="1"/>
      <c r="D14" s="1"/>
      <c r="E14" s="1"/>
      <c r="F14" s="1"/>
      <c r="G14" s="1"/>
      <c r="H14" s="1"/>
    </row>
    <row r="15" spans="1:8" ht="61.5" customHeight="1" x14ac:dyDescent="0.25">
      <c r="A15" s="20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200"/>
      <c r="C15" s="82"/>
      <c r="D15" s="82"/>
      <c r="E15" s="82"/>
      <c r="F15" s="82"/>
      <c r="G15" s="82"/>
      <c r="H15" s="82"/>
    </row>
    <row r="16" spans="1:8" x14ac:dyDescent="0.25">
      <c r="A16" s="199" t="s">
        <v>2</v>
      </c>
      <c r="B16" s="199"/>
      <c r="C16" s="83"/>
      <c r="D16" s="83"/>
      <c r="E16" s="83"/>
      <c r="F16" s="83"/>
      <c r="G16" s="83"/>
      <c r="H16" s="83"/>
    </row>
    <row r="17" spans="1:2" x14ac:dyDescent="0.25">
      <c r="B17" s="26"/>
    </row>
    <row r="18" spans="1:2" ht="33.75" customHeight="1" x14ac:dyDescent="0.25">
      <c r="A18" s="296" t="s">
        <v>277</v>
      </c>
      <c r="B18" s="297"/>
    </row>
    <row r="19" spans="1:2" x14ac:dyDescent="0.25">
      <c r="B19" s="7"/>
    </row>
    <row r="20" spans="1:2" x14ac:dyDescent="0.25">
      <c r="B20" s="27"/>
    </row>
    <row r="21" spans="1:2" ht="45" x14ac:dyDescent="0.25">
      <c r="A21" s="177" t="s">
        <v>168</v>
      </c>
      <c r="B21" s="84"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row>
    <row r="22" spans="1:2" x14ac:dyDescent="0.25">
      <c r="A22" s="177" t="s">
        <v>169</v>
      </c>
      <c r="B22" s="84" t="str">
        <f>'1. паспорт местоположение'!C27</f>
        <v>г.Урус-Мартан</v>
      </c>
    </row>
    <row r="23" spans="1:2" ht="45" x14ac:dyDescent="0.25">
      <c r="A23" s="177" t="s">
        <v>157</v>
      </c>
      <c r="B23" s="84"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x14ac:dyDescent="0.25">
      <c r="A24" s="177" t="s">
        <v>170</v>
      </c>
      <c r="B24" s="85">
        <v>0</v>
      </c>
    </row>
    <row r="25" spans="1:2" x14ac:dyDescent="0.25">
      <c r="A25" s="178" t="s">
        <v>171</v>
      </c>
      <c r="B25" s="84">
        <f>VLOOKUP($A$12,'[1]6.2. отчет'!$D:$OM,400,0)</f>
        <v>2020</v>
      </c>
    </row>
    <row r="26" spans="1:2" x14ac:dyDescent="0.25">
      <c r="A26" s="178" t="s">
        <v>172</v>
      </c>
      <c r="B26" s="85" t="str">
        <f>'3.3 паспорт описание'!C30</f>
        <v>п</v>
      </c>
    </row>
    <row r="27" spans="1:2" x14ac:dyDescent="0.25">
      <c r="A27" s="179" t="s">
        <v>450</v>
      </c>
      <c r="B27" s="85">
        <f>VLOOKUP($A$12,'[1]6.2. отчет'!$D:$OT,407,0)</f>
        <v>23.147228506076502</v>
      </c>
    </row>
    <row r="28" spans="1:2" x14ac:dyDescent="0.25">
      <c r="A28" s="180" t="s">
        <v>173</v>
      </c>
      <c r="B28" s="180" t="s">
        <v>289</v>
      </c>
    </row>
    <row r="29" spans="1:2" x14ac:dyDescent="0.25">
      <c r="A29" s="179" t="s">
        <v>174</v>
      </c>
      <c r="B29" s="180" t="s">
        <v>339</v>
      </c>
    </row>
    <row r="30" spans="1:2" x14ac:dyDescent="0.25">
      <c r="A30" s="179" t="s">
        <v>175</v>
      </c>
      <c r="B30" s="180" t="s">
        <v>339</v>
      </c>
    </row>
    <row r="31" spans="1:2" x14ac:dyDescent="0.25">
      <c r="A31" s="180" t="s">
        <v>176</v>
      </c>
      <c r="B31" s="180" t="s">
        <v>339</v>
      </c>
    </row>
    <row r="32" spans="1:2" ht="28.5" x14ac:dyDescent="0.25">
      <c r="A32" s="179" t="s">
        <v>177</v>
      </c>
      <c r="B32" s="180" t="s">
        <v>339</v>
      </c>
    </row>
    <row r="33" spans="1:2" x14ac:dyDescent="0.25">
      <c r="A33" s="180" t="s">
        <v>178</v>
      </c>
      <c r="B33" s="180" t="s">
        <v>339</v>
      </c>
    </row>
    <row r="34" spans="1:2" x14ac:dyDescent="0.25">
      <c r="A34" s="180" t="s">
        <v>179</v>
      </c>
      <c r="B34" s="180" t="s">
        <v>339</v>
      </c>
    </row>
    <row r="35" spans="1:2" x14ac:dyDescent="0.25">
      <c r="A35" s="180" t="s">
        <v>180</v>
      </c>
      <c r="B35" s="180" t="s">
        <v>339</v>
      </c>
    </row>
    <row r="36" spans="1:2" x14ac:dyDescent="0.25">
      <c r="A36" s="180" t="s">
        <v>181</v>
      </c>
      <c r="B36" s="180" t="s">
        <v>339</v>
      </c>
    </row>
    <row r="37" spans="1:2" ht="28.5" x14ac:dyDescent="0.25">
      <c r="A37" s="179" t="s">
        <v>182</v>
      </c>
      <c r="B37" s="180" t="s">
        <v>339</v>
      </c>
    </row>
    <row r="38" spans="1:2" x14ac:dyDescent="0.25">
      <c r="A38" s="180" t="s">
        <v>178</v>
      </c>
      <c r="B38" s="180" t="s">
        <v>339</v>
      </c>
    </row>
    <row r="39" spans="1:2" x14ac:dyDescent="0.25">
      <c r="A39" s="180" t="s">
        <v>179</v>
      </c>
      <c r="B39" s="180" t="s">
        <v>339</v>
      </c>
    </row>
    <row r="40" spans="1:2" x14ac:dyDescent="0.25">
      <c r="A40" s="180" t="s">
        <v>180</v>
      </c>
      <c r="B40" s="180" t="s">
        <v>339</v>
      </c>
    </row>
    <row r="41" spans="1:2" x14ac:dyDescent="0.25">
      <c r="A41" s="180" t="s">
        <v>181</v>
      </c>
      <c r="B41" s="180" t="s">
        <v>339</v>
      </c>
    </row>
    <row r="42" spans="1:2" ht="28.5" x14ac:dyDescent="0.25">
      <c r="A42" s="179" t="s">
        <v>183</v>
      </c>
      <c r="B42" s="180" t="s">
        <v>339</v>
      </c>
    </row>
    <row r="43" spans="1:2" x14ac:dyDescent="0.25">
      <c r="A43" s="180" t="s">
        <v>178</v>
      </c>
      <c r="B43" s="180" t="s">
        <v>339</v>
      </c>
    </row>
    <row r="44" spans="1:2" x14ac:dyDescent="0.25">
      <c r="A44" s="180" t="s">
        <v>179</v>
      </c>
      <c r="B44" s="180" t="s">
        <v>339</v>
      </c>
    </row>
    <row r="45" spans="1:2" x14ac:dyDescent="0.25">
      <c r="A45" s="180" t="s">
        <v>180</v>
      </c>
      <c r="B45" s="180" t="s">
        <v>339</v>
      </c>
    </row>
    <row r="46" spans="1:2" x14ac:dyDescent="0.25">
      <c r="A46" s="180" t="s">
        <v>181</v>
      </c>
      <c r="B46" s="180" t="s">
        <v>339</v>
      </c>
    </row>
    <row r="47" spans="1:2" ht="28.5" x14ac:dyDescent="0.25">
      <c r="A47" s="178" t="s">
        <v>184</v>
      </c>
      <c r="B47" s="180" t="s">
        <v>339</v>
      </c>
    </row>
    <row r="48" spans="1:2" x14ac:dyDescent="0.25">
      <c r="A48" s="88" t="s">
        <v>176</v>
      </c>
      <c r="B48" s="180" t="s">
        <v>339</v>
      </c>
    </row>
    <row r="49" spans="1:2" x14ac:dyDescent="0.25">
      <c r="A49" s="88" t="s">
        <v>185</v>
      </c>
      <c r="B49" s="180" t="s">
        <v>339</v>
      </c>
    </row>
    <row r="50" spans="1:2" x14ac:dyDescent="0.25">
      <c r="A50" s="88" t="s">
        <v>186</v>
      </c>
      <c r="B50" s="180" t="s">
        <v>339</v>
      </c>
    </row>
    <row r="51" spans="1:2" x14ac:dyDescent="0.25">
      <c r="A51" s="88" t="s">
        <v>187</v>
      </c>
      <c r="B51" s="180" t="s">
        <v>339</v>
      </c>
    </row>
    <row r="52" spans="1:2" x14ac:dyDescent="0.25">
      <c r="A52" s="178" t="s">
        <v>188</v>
      </c>
      <c r="B52" s="87">
        <f>B53/'6.2. Паспорт фин осв ввод'!C24</f>
        <v>0</v>
      </c>
    </row>
    <row r="53" spans="1:2" x14ac:dyDescent="0.25">
      <c r="A53" s="178" t="s">
        <v>189</v>
      </c>
      <c r="B53" s="86">
        <f>'6.2. Паспорт фин осв ввод'!D24</f>
        <v>0</v>
      </c>
    </row>
    <row r="54" spans="1:2" x14ac:dyDescent="0.25">
      <c r="A54" s="178" t="s">
        <v>190</v>
      </c>
      <c r="B54" s="87">
        <f>B55/'6.2. Паспорт фин осв ввод'!C30</f>
        <v>0</v>
      </c>
    </row>
    <row r="55" spans="1:2" x14ac:dyDescent="0.25">
      <c r="A55" s="178" t="s">
        <v>191</v>
      </c>
      <c r="B55" s="86">
        <f>'6.2. Паспорт фин осв ввод'!D30</f>
        <v>0</v>
      </c>
    </row>
    <row r="56" spans="1:2" ht="15.75" customHeight="1" x14ac:dyDescent="0.25">
      <c r="A56" s="178" t="s">
        <v>192</v>
      </c>
      <c r="B56" s="88"/>
    </row>
    <row r="57" spans="1:2" x14ac:dyDescent="0.25">
      <c r="A57" s="88" t="s">
        <v>193</v>
      </c>
      <c r="B57" s="88" t="s">
        <v>286</v>
      </c>
    </row>
    <row r="58" spans="1:2" x14ac:dyDescent="0.25">
      <c r="A58" s="88" t="s">
        <v>194</v>
      </c>
      <c r="B58" s="88" t="s">
        <v>339</v>
      </c>
    </row>
    <row r="59" spans="1:2" x14ac:dyDescent="0.25">
      <c r="A59" s="88" t="s">
        <v>195</v>
      </c>
      <c r="B59" s="88" t="s">
        <v>339</v>
      </c>
    </row>
    <row r="60" spans="1:2" x14ac:dyDescent="0.25">
      <c r="A60" s="88" t="s">
        <v>196</v>
      </c>
      <c r="B60" s="88" t="s">
        <v>339</v>
      </c>
    </row>
    <row r="61" spans="1:2" x14ac:dyDescent="0.25">
      <c r="A61" s="88" t="s">
        <v>197</v>
      </c>
      <c r="B61" s="88" t="s">
        <v>339</v>
      </c>
    </row>
    <row r="62" spans="1:2" x14ac:dyDescent="0.25">
      <c r="A62" s="88" t="s">
        <v>198</v>
      </c>
      <c r="B62" s="88" t="s">
        <v>339</v>
      </c>
    </row>
    <row r="63" spans="1:2" ht="28.5" x14ac:dyDescent="0.25">
      <c r="A63" s="178" t="s">
        <v>199</v>
      </c>
      <c r="B63" s="88" t="s">
        <v>339</v>
      </c>
    </row>
    <row r="64" spans="1:2" x14ac:dyDescent="0.25">
      <c r="A64" s="88" t="s">
        <v>176</v>
      </c>
      <c r="B64" s="88" t="s">
        <v>339</v>
      </c>
    </row>
    <row r="65" spans="1:2" x14ac:dyDescent="0.25">
      <c r="A65" s="88" t="s">
        <v>200</v>
      </c>
      <c r="B65" s="88" t="s">
        <v>339</v>
      </c>
    </row>
    <row r="66" spans="1:2" x14ac:dyDescent="0.25">
      <c r="A66" s="88" t="s">
        <v>201</v>
      </c>
      <c r="B66" s="88" t="s">
        <v>339</v>
      </c>
    </row>
    <row r="67" spans="1:2" x14ac:dyDescent="0.25">
      <c r="A67" s="181" t="s">
        <v>202</v>
      </c>
      <c r="B67" s="88" t="s">
        <v>339</v>
      </c>
    </row>
    <row r="68" spans="1:2" x14ac:dyDescent="0.25">
      <c r="A68" s="178" t="s">
        <v>203</v>
      </c>
      <c r="B68" s="88" t="s">
        <v>339</v>
      </c>
    </row>
    <row r="69" spans="1:2" x14ac:dyDescent="0.25">
      <c r="A69" s="88" t="s">
        <v>204</v>
      </c>
      <c r="B69" s="88" t="s">
        <v>339</v>
      </c>
    </row>
    <row r="70" spans="1:2" x14ac:dyDescent="0.25">
      <c r="A70" s="88" t="s">
        <v>205</v>
      </c>
      <c r="B70" s="88" t="s">
        <v>339</v>
      </c>
    </row>
    <row r="71" spans="1:2" x14ac:dyDescent="0.25">
      <c r="A71" s="88" t="s">
        <v>206</v>
      </c>
      <c r="B71" s="88" t="s">
        <v>339</v>
      </c>
    </row>
    <row r="72" spans="1:2" x14ac:dyDescent="0.25">
      <c r="A72" s="182" t="s">
        <v>207</v>
      </c>
      <c r="B72" s="88" t="str">
        <f>$B$26</f>
        <v>п</v>
      </c>
    </row>
    <row r="73" spans="1:2" ht="28.5" x14ac:dyDescent="0.25">
      <c r="A73" s="178" t="s">
        <v>208</v>
      </c>
      <c r="B73" s="88" t="s">
        <v>339</v>
      </c>
    </row>
    <row r="74" spans="1:2" x14ac:dyDescent="0.25">
      <c r="A74" s="88" t="s">
        <v>209</v>
      </c>
      <c r="B74" s="88" t="s">
        <v>339</v>
      </c>
    </row>
    <row r="75" spans="1:2" x14ac:dyDescent="0.25">
      <c r="A75" s="88" t="s">
        <v>210</v>
      </c>
      <c r="B75" s="88" t="s">
        <v>339</v>
      </c>
    </row>
    <row r="76" spans="1:2" x14ac:dyDescent="0.25">
      <c r="A76" s="88" t="s">
        <v>211</v>
      </c>
      <c r="B76" s="88" t="s">
        <v>339</v>
      </c>
    </row>
    <row r="77" spans="1:2" x14ac:dyDescent="0.25">
      <c r="A77" s="88" t="s">
        <v>212</v>
      </c>
      <c r="B77" s="88" t="s">
        <v>339</v>
      </c>
    </row>
    <row r="78" spans="1:2" x14ac:dyDescent="0.25">
      <c r="A78" s="183" t="s">
        <v>213</v>
      </c>
      <c r="B78" s="88" t="s">
        <v>339</v>
      </c>
    </row>
    <row r="81" spans="1:2" x14ac:dyDescent="0.25">
      <c r="A81" s="28"/>
      <c r="B81" s="29"/>
    </row>
    <row r="82" spans="1:2" x14ac:dyDescent="0.25">
      <c r="B82" s="30"/>
    </row>
    <row r="83" spans="1:2" x14ac:dyDescent="0.25">
      <c r="B83" s="31"/>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F24" sqref="F24"/>
    </sheetView>
  </sheetViews>
  <sheetFormatPr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8" s="2" customFormat="1" ht="18.75" customHeight="1" x14ac:dyDescent="0.2">
      <c r="A1" s="45"/>
      <c r="S1" s="47" t="s">
        <v>22</v>
      </c>
    </row>
    <row r="2" spans="1:28" s="2" customFormat="1" ht="18.75" customHeight="1" x14ac:dyDescent="0.3">
      <c r="A2" s="45"/>
      <c r="S2" s="48" t="s">
        <v>6</v>
      </c>
    </row>
    <row r="3" spans="1:28" s="2" customFormat="1" ht="18.75" x14ac:dyDescent="0.3">
      <c r="S3" s="48" t="s">
        <v>21</v>
      </c>
    </row>
    <row r="4" spans="1:28" s="2" customFormat="1" ht="18.75" customHeight="1" x14ac:dyDescent="0.2">
      <c r="A4" s="193" t="str">
        <f>'1. паспорт местоположение'!$A$5</f>
        <v>Год раскрытия информации: 2019 год</v>
      </c>
      <c r="B4" s="193"/>
      <c r="C4" s="193"/>
      <c r="D4" s="193"/>
      <c r="E4" s="193"/>
      <c r="F4" s="193"/>
      <c r="G4" s="193"/>
      <c r="H4" s="193"/>
      <c r="I4" s="193"/>
      <c r="J4" s="193"/>
      <c r="K4" s="193"/>
      <c r="L4" s="193"/>
      <c r="M4" s="193"/>
      <c r="N4" s="193"/>
      <c r="O4" s="193"/>
      <c r="P4" s="193"/>
      <c r="Q4" s="193"/>
      <c r="R4" s="193"/>
      <c r="S4" s="193"/>
    </row>
    <row r="5" spans="1:28" s="2" customFormat="1" ht="15.75" x14ac:dyDescent="0.2">
      <c r="A5" s="131"/>
    </row>
    <row r="6" spans="1:28" s="2" customFormat="1" ht="18.75" x14ac:dyDescent="0.2">
      <c r="A6" s="197" t="s">
        <v>5</v>
      </c>
      <c r="B6" s="197"/>
      <c r="C6" s="197"/>
      <c r="D6" s="197"/>
      <c r="E6" s="197"/>
      <c r="F6" s="197"/>
      <c r="G6" s="197"/>
      <c r="H6" s="197"/>
      <c r="I6" s="197"/>
      <c r="J6" s="197"/>
      <c r="K6" s="197"/>
      <c r="L6" s="197"/>
      <c r="M6" s="197"/>
      <c r="N6" s="197"/>
      <c r="O6" s="197"/>
      <c r="P6" s="197"/>
      <c r="Q6" s="197"/>
      <c r="R6" s="197"/>
      <c r="S6" s="197"/>
      <c r="T6" s="79"/>
      <c r="U6" s="79"/>
      <c r="V6" s="79"/>
      <c r="W6" s="79"/>
      <c r="X6" s="79"/>
      <c r="Y6" s="79"/>
      <c r="Z6" s="79"/>
      <c r="AA6" s="79"/>
      <c r="AB6" s="79"/>
    </row>
    <row r="7" spans="1:28" s="2" customFormat="1" ht="18.75" x14ac:dyDescent="0.2">
      <c r="A7" s="197"/>
      <c r="B7" s="197"/>
      <c r="C7" s="197"/>
      <c r="D7" s="197"/>
      <c r="E7" s="197"/>
      <c r="F7" s="197"/>
      <c r="G7" s="197"/>
      <c r="H7" s="197"/>
      <c r="I7" s="197"/>
      <c r="J7" s="197"/>
      <c r="K7" s="197"/>
      <c r="L7" s="197"/>
      <c r="M7" s="197"/>
      <c r="N7" s="197"/>
      <c r="O7" s="197"/>
      <c r="P7" s="197"/>
      <c r="Q7" s="197"/>
      <c r="R7" s="197"/>
      <c r="S7" s="197"/>
      <c r="T7" s="79"/>
      <c r="U7" s="79"/>
      <c r="V7" s="79"/>
      <c r="W7" s="79"/>
      <c r="X7" s="79"/>
      <c r="Y7" s="79"/>
      <c r="Z7" s="79"/>
      <c r="AA7" s="79"/>
      <c r="AB7" s="79"/>
    </row>
    <row r="8" spans="1:28" s="2" customFormat="1" ht="18.75" x14ac:dyDescent="0.2">
      <c r="A8" s="198" t="s">
        <v>286</v>
      </c>
      <c r="B8" s="198"/>
      <c r="C8" s="198"/>
      <c r="D8" s="198"/>
      <c r="E8" s="198"/>
      <c r="F8" s="198"/>
      <c r="G8" s="198"/>
      <c r="H8" s="198"/>
      <c r="I8" s="198"/>
      <c r="J8" s="198"/>
      <c r="K8" s="198"/>
      <c r="L8" s="198"/>
      <c r="M8" s="198"/>
      <c r="N8" s="198"/>
      <c r="O8" s="198"/>
      <c r="P8" s="198"/>
      <c r="Q8" s="198"/>
      <c r="R8" s="198"/>
      <c r="S8" s="198"/>
      <c r="T8" s="79"/>
      <c r="U8" s="79"/>
      <c r="V8" s="79"/>
      <c r="W8" s="79"/>
      <c r="X8" s="79"/>
      <c r="Y8" s="79"/>
      <c r="Z8" s="79"/>
      <c r="AA8" s="79"/>
      <c r="AB8" s="79"/>
    </row>
    <row r="9" spans="1:28" s="2" customFormat="1" ht="18.75" x14ac:dyDescent="0.2">
      <c r="A9" s="199" t="s">
        <v>4</v>
      </c>
      <c r="B9" s="199"/>
      <c r="C9" s="199"/>
      <c r="D9" s="199"/>
      <c r="E9" s="199"/>
      <c r="F9" s="199"/>
      <c r="G9" s="199"/>
      <c r="H9" s="199"/>
      <c r="I9" s="199"/>
      <c r="J9" s="199"/>
      <c r="K9" s="199"/>
      <c r="L9" s="199"/>
      <c r="M9" s="199"/>
      <c r="N9" s="199"/>
      <c r="O9" s="199"/>
      <c r="P9" s="199"/>
      <c r="Q9" s="199"/>
      <c r="R9" s="199"/>
      <c r="S9" s="199"/>
      <c r="T9" s="79"/>
      <c r="U9" s="79"/>
      <c r="V9" s="79"/>
      <c r="W9" s="79"/>
      <c r="X9" s="79"/>
      <c r="Y9" s="79"/>
      <c r="Z9" s="79"/>
      <c r="AA9" s="79"/>
      <c r="AB9" s="79"/>
    </row>
    <row r="10" spans="1:28" s="2" customFormat="1" ht="18.75" x14ac:dyDescent="0.2">
      <c r="A10" s="197"/>
      <c r="B10" s="197"/>
      <c r="C10" s="197"/>
      <c r="D10" s="197"/>
      <c r="E10" s="197"/>
      <c r="F10" s="197"/>
      <c r="G10" s="197"/>
      <c r="H10" s="197"/>
      <c r="I10" s="197"/>
      <c r="J10" s="197"/>
      <c r="K10" s="197"/>
      <c r="L10" s="197"/>
      <c r="M10" s="197"/>
      <c r="N10" s="197"/>
      <c r="O10" s="197"/>
      <c r="P10" s="197"/>
      <c r="Q10" s="197"/>
      <c r="R10" s="197"/>
      <c r="S10" s="197"/>
      <c r="T10" s="79"/>
      <c r="U10" s="79"/>
      <c r="V10" s="79"/>
      <c r="W10" s="79"/>
      <c r="X10" s="79"/>
      <c r="Y10" s="79"/>
      <c r="Z10" s="79"/>
      <c r="AA10" s="79"/>
      <c r="AB10" s="79"/>
    </row>
    <row r="11" spans="1:28" s="2" customFormat="1" ht="18.75" x14ac:dyDescent="0.2">
      <c r="A11" s="208" t="str">
        <f>'1. паспорт местоположение'!$A$12</f>
        <v>H_Che82</v>
      </c>
      <c r="B11" s="208"/>
      <c r="C11" s="208"/>
      <c r="D11" s="208"/>
      <c r="E11" s="208"/>
      <c r="F11" s="208"/>
      <c r="G11" s="208"/>
      <c r="H11" s="208"/>
      <c r="I11" s="208"/>
      <c r="J11" s="208"/>
      <c r="K11" s="208"/>
      <c r="L11" s="208"/>
      <c r="M11" s="208"/>
      <c r="N11" s="208"/>
      <c r="O11" s="208"/>
      <c r="P11" s="208"/>
      <c r="Q11" s="208"/>
      <c r="R11" s="208"/>
      <c r="S11" s="208"/>
      <c r="T11" s="79"/>
      <c r="U11" s="79"/>
      <c r="V11" s="79"/>
      <c r="W11" s="79"/>
      <c r="X11" s="79"/>
      <c r="Y11" s="79"/>
      <c r="Z11" s="79"/>
      <c r="AA11" s="79"/>
      <c r="AB11" s="79"/>
    </row>
    <row r="12" spans="1:28" s="2" customFormat="1" ht="18.75" x14ac:dyDescent="0.2">
      <c r="A12" s="199" t="s">
        <v>3</v>
      </c>
      <c r="B12" s="199"/>
      <c r="C12" s="199"/>
      <c r="D12" s="199"/>
      <c r="E12" s="199"/>
      <c r="F12" s="199"/>
      <c r="G12" s="199"/>
      <c r="H12" s="199"/>
      <c r="I12" s="199"/>
      <c r="J12" s="199"/>
      <c r="K12" s="199"/>
      <c r="L12" s="199"/>
      <c r="M12" s="199"/>
      <c r="N12" s="199"/>
      <c r="O12" s="199"/>
      <c r="P12" s="199"/>
      <c r="Q12" s="199"/>
      <c r="R12" s="199"/>
      <c r="S12" s="199"/>
      <c r="T12" s="79"/>
      <c r="U12" s="79"/>
      <c r="V12" s="79"/>
      <c r="W12" s="79"/>
      <c r="X12" s="79"/>
      <c r="Y12" s="79"/>
      <c r="Z12" s="79"/>
      <c r="AA12" s="79"/>
      <c r="AB12" s="79"/>
    </row>
    <row r="13" spans="1:28" s="132"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69"/>
      <c r="U13" s="69"/>
      <c r="V13" s="69"/>
      <c r="W13" s="69"/>
      <c r="X13" s="69"/>
      <c r="Y13" s="69"/>
      <c r="Z13" s="69"/>
      <c r="AA13" s="69"/>
      <c r="AB13" s="69"/>
    </row>
    <row r="14" spans="1:28" s="133" customFormat="1" ht="29.25" customHeight="1" x14ac:dyDescent="0.2">
      <c r="A14" s="198"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4" s="198"/>
      <c r="C14" s="198"/>
      <c r="D14" s="198"/>
      <c r="E14" s="198"/>
      <c r="F14" s="198"/>
      <c r="G14" s="198"/>
      <c r="H14" s="198"/>
      <c r="I14" s="198"/>
      <c r="J14" s="198"/>
      <c r="K14" s="198"/>
      <c r="L14" s="198"/>
      <c r="M14" s="198"/>
      <c r="N14" s="198"/>
      <c r="O14" s="198"/>
      <c r="P14" s="198"/>
      <c r="Q14" s="198"/>
      <c r="R14" s="198"/>
      <c r="S14" s="198"/>
      <c r="T14" s="82"/>
      <c r="U14" s="82"/>
      <c r="V14" s="82"/>
      <c r="W14" s="82"/>
      <c r="X14" s="82"/>
      <c r="Y14" s="82"/>
      <c r="Z14" s="82"/>
      <c r="AA14" s="82"/>
      <c r="AB14" s="82"/>
    </row>
    <row r="15" spans="1:28" s="133" customFormat="1" ht="15" customHeight="1" x14ac:dyDescent="0.2">
      <c r="A15" s="199" t="s">
        <v>2</v>
      </c>
      <c r="B15" s="199"/>
      <c r="C15" s="199"/>
      <c r="D15" s="199"/>
      <c r="E15" s="199"/>
      <c r="F15" s="199"/>
      <c r="G15" s="199"/>
      <c r="H15" s="199"/>
      <c r="I15" s="199"/>
      <c r="J15" s="199"/>
      <c r="K15" s="199"/>
      <c r="L15" s="199"/>
      <c r="M15" s="199"/>
      <c r="N15" s="199"/>
      <c r="O15" s="199"/>
      <c r="P15" s="199"/>
      <c r="Q15" s="199"/>
      <c r="R15" s="199"/>
      <c r="S15" s="199"/>
      <c r="T15" s="83"/>
      <c r="U15" s="83"/>
      <c r="V15" s="83"/>
      <c r="W15" s="83"/>
      <c r="X15" s="83"/>
      <c r="Y15" s="83"/>
      <c r="Z15" s="83"/>
      <c r="AA15" s="83"/>
      <c r="AB15" s="83"/>
    </row>
    <row r="16" spans="1:28" s="13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134"/>
      <c r="U16" s="134"/>
      <c r="V16" s="134"/>
      <c r="W16" s="134"/>
      <c r="X16" s="134"/>
      <c r="Y16" s="134"/>
    </row>
    <row r="17" spans="1:28" s="133" customFormat="1" ht="45.75" customHeight="1" x14ac:dyDescent="0.2">
      <c r="A17" s="202" t="s">
        <v>261</v>
      </c>
      <c r="B17" s="202"/>
      <c r="C17" s="202"/>
      <c r="D17" s="202"/>
      <c r="E17" s="202"/>
      <c r="F17" s="202"/>
      <c r="G17" s="202"/>
      <c r="H17" s="202"/>
      <c r="I17" s="202"/>
      <c r="J17" s="202"/>
      <c r="K17" s="202"/>
      <c r="L17" s="202"/>
      <c r="M17" s="202"/>
      <c r="N17" s="202"/>
      <c r="O17" s="202"/>
      <c r="P17" s="202"/>
      <c r="Q17" s="202"/>
      <c r="R17" s="202"/>
      <c r="S17" s="202"/>
      <c r="T17" s="135"/>
      <c r="U17" s="135"/>
      <c r="V17" s="135"/>
      <c r="W17" s="135"/>
      <c r="X17" s="135"/>
      <c r="Y17" s="135"/>
      <c r="Z17" s="135"/>
      <c r="AA17" s="135"/>
      <c r="AB17" s="135"/>
    </row>
    <row r="18" spans="1:28" s="13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134"/>
      <c r="U18" s="134"/>
      <c r="V18" s="134"/>
      <c r="W18" s="134"/>
      <c r="X18" s="134"/>
      <c r="Y18" s="134"/>
    </row>
    <row r="19" spans="1:28" s="133" customFormat="1" ht="54" customHeight="1" x14ac:dyDescent="0.2">
      <c r="A19" s="203" t="s">
        <v>1</v>
      </c>
      <c r="B19" s="203" t="s">
        <v>40</v>
      </c>
      <c r="C19" s="204" t="s">
        <v>167</v>
      </c>
      <c r="D19" s="203" t="s">
        <v>166</v>
      </c>
      <c r="E19" s="203" t="s">
        <v>39</v>
      </c>
      <c r="F19" s="203" t="s">
        <v>38</v>
      </c>
      <c r="G19" s="203" t="s">
        <v>162</v>
      </c>
      <c r="H19" s="203" t="s">
        <v>37</v>
      </c>
      <c r="I19" s="203" t="s">
        <v>36</v>
      </c>
      <c r="J19" s="203" t="s">
        <v>35</v>
      </c>
      <c r="K19" s="203" t="s">
        <v>34</v>
      </c>
      <c r="L19" s="203" t="s">
        <v>33</v>
      </c>
      <c r="M19" s="203" t="s">
        <v>32</v>
      </c>
      <c r="N19" s="203" t="s">
        <v>31</v>
      </c>
      <c r="O19" s="203" t="s">
        <v>30</v>
      </c>
      <c r="P19" s="203" t="s">
        <v>29</v>
      </c>
      <c r="Q19" s="203" t="s">
        <v>165</v>
      </c>
      <c r="R19" s="203"/>
      <c r="S19" s="206" t="s">
        <v>256</v>
      </c>
      <c r="T19" s="134"/>
      <c r="U19" s="134"/>
      <c r="V19" s="134"/>
      <c r="W19" s="134"/>
      <c r="X19" s="134"/>
      <c r="Y19" s="134"/>
    </row>
    <row r="20" spans="1:28" s="133" customFormat="1" ht="180.75" customHeight="1" x14ac:dyDescent="0.2">
      <c r="A20" s="203"/>
      <c r="B20" s="203"/>
      <c r="C20" s="205"/>
      <c r="D20" s="203"/>
      <c r="E20" s="203"/>
      <c r="F20" s="203"/>
      <c r="G20" s="203"/>
      <c r="H20" s="203"/>
      <c r="I20" s="203"/>
      <c r="J20" s="203"/>
      <c r="K20" s="203"/>
      <c r="L20" s="203"/>
      <c r="M20" s="203"/>
      <c r="N20" s="203"/>
      <c r="O20" s="203"/>
      <c r="P20" s="203"/>
      <c r="Q20" s="164" t="s">
        <v>163</v>
      </c>
      <c r="R20" s="6" t="s">
        <v>164</v>
      </c>
      <c r="S20" s="206"/>
      <c r="T20" s="69"/>
      <c r="U20" s="69"/>
      <c r="V20" s="69"/>
      <c r="W20" s="69"/>
      <c r="X20" s="69"/>
      <c r="Y20" s="69"/>
      <c r="Z20" s="140"/>
      <c r="AA20" s="140"/>
      <c r="AB20" s="140"/>
    </row>
    <row r="21" spans="1:28" s="133" customFormat="1" ht="18.75" x14ac:dyDescent="0.2">
      <c r="A21" s="164">
        <v>1</v>
      </c>
      <c r="B21" s="165">
        <v>2</v>
      </c>
      <c r="C21" s="164">
        <v>3</v>
      </c>
      <c r="D21" s="165">
        <v>4</v>
      </c>
      <c r="E21" s="164">
        <v>5</v>
      </c>
      <c r="F21" s="165">
        <v>6</v>
      </c>
      <c r="G21" s="164">
        <v>7</v>
      </c>
      <c r="H21" s="165">
        <v>8</v>
      </c>
      <c r="I21" s="164">
        <v>9</v>
      </c>
      <c r="J21" s="165">
        <v>10</v>
      </c>
      <c r="K21" s="164">
        <v>11</v>
      </c>
      <c r="L21" s="165">
        <v>12</v>
      </c>
      <c r="M21" s="164">
        <v>13</v>
      </c>
      <c r="N21" s="165">
        <v>14</v>
      </c>
      <c r="O21" s="164">
        <v>15</v>
      </c>
      <c r="P21" s="165">
        <v>16</v>
      </c>
      <c r="Q21" s="164">
        <v>17</v>
      </c>
      <c r="R21" s="165">
        <v>18</v>
      </c>
      <c r="S21" s="164">
        <v>19</v>
      </c>
      <c r="T21" s="69"/>
      <c r="U21" s="69"/>
      <c r="V21" s="69"/>
      <c r="W21" s="69"/>
      <c r="X21" s="69"/>
      <c r="Y21" s="69"/>
      <c r="Z21" s="140"/>
      <c r="AA21" s="140"/>
      <c r="AB21" s="140"/>
    </row>
    <row r="22" spans="1:28" s="133" customFormat="1" ht="122.25" customHeight="1" x14ac:dyDescent="0.2">
      <c r="A22" s="115">
        <v>1</v>
      </c>
      <c r="B22" s="166" t="s">
        <v>487</v>
      </c>
      <c r="C22" s="166" t="s">
        <v>161</v>
      </c>
      <c r="D22" s="166" t="str">
        <f>IF(B22="нд","нд",IF('3.3 паспорт описание'!C30="Объект введен на основные фонды",'3.3 паспорт описание'!C30,"в работе"))</f>
        <v>в работе</v>
      </c>
      <c r="E22" s="165" t="s">
        <v>451</v>
      </c>
      <c r="F22" s="166" t="s">
        <v>488</v>
      </c>
      <c r="G22" s="166" t="s">
        <v>489</v>
      </c>
      <c r="H22" s="166">
        <v>24</v>
      </c>
      <c r="I22" s="167">
        <v>3.302</v>
      </c>
      <c r="J22" s="166">
        <v>15.3</v>
      </c>
      <c r="K22" s="165">
        <v>110</v>
      </c>
      <c r="L22" s="165">
        <v>2</v>
      </c>
      <c r="M22" s="166">
        <v>0</v>
      </c>
      <c r="N22" s="67" t="s">
        <v>339</v>
      </c>
      <c r="O22" s="67" t="s">
        <v>339</v>
      </c>
      <c r="P22" s="67" t="s">
        <v>339</v>
      </c>
      <c r="Q22" s="165" t="s">
        <v>449</v>
      </c>
      <c r="R22" s="67" t="s">
        <v>339</v>
      </c>
      <c r="S22" s="166">
        <v>2.3325060000000002E-2</v>
      </c>
      <c r="T22" s="69"/>
      <c r="U22" s="69"/>
      <c r="V22" s="69"/>
      <c r="W22" s="69"/>
      <c r="X22" s="69"/>
      <c r="Y22" s="69"/>
      <c r="Z22" s="140"/>
      <c r="AA22" s="140"/>
      <c r="AB22" s="140"/>
    </row>
    <row r="23" spans="1:28" ht="20.25" customHeight="1" x14ac:dyDescent="0.25">
      <c r="A23" s="5" t="s">
        <v>414</v>
      </c>
      <c r="B23" s="5" t="s">
        <v>414</v>
      </c>
      <c r="C23" s="5"/>
      <c r="D23" s="5"/>
      <c r="E23" s="5" t="s">
        <v>414</v>
      </c>
      <c r="F23" s="5" t="s">
        <v>414</v>
      </c>
      <c r="G23" s="5" t="s">
        <v>414</v>
      </c>
      <c r="H23" s="5" t="s">
        <v>414</v>
      </c>
      <c r="I23" s="5"/>
      <c r="J23" s="5"/>
      <c r="K23" s="5"/>
      <c r="L23" s="5"/>
      <c r="M23" s="5" t="s">
        <v>414</v>
      </c>
      <c r="N23" s="5" t="s">
        <v>414</v>
      </c>
      <c r="O23" s="5" t="s">
        <v>414</v>
      </c>
      <c r="P23" s="5" t="s">
        <v>414</v>
      </c>
      <c r="Q23" s="5" t="s">
        <v>414</v>
      </c>
      <c r="R23" s="168"/>
      <c r="S23" s="168"/>
      <c r="T23" s="121"/>
      <c r="U23" s="121"/>
      <c r="V23" s="121"/>
      <c r="W23" s="121"/>
      <c r="X23" s="121"/>
      <c r="Y23" s="121"/>
      <c r="Z23" s="121"/>
      <c r="AA23" s="121"/>
      <c r="AB23" s="121"/>
    </row>
    <row r="24" spans="1:28" ht="15.75" x14ac:dyDescent="0.25">
      <c r="A24" s="169"/>
      <c r="B24" s="166" t="s">
        <v>160</v>
      </c>
      <c r="C24" s="166"/>
      <c r="D24" s="166"/>
      <c r="E24" s="169" t="s">
        <v>161</v>
      </c>
      <c r="F24" s="169" t="s">
        <v>161</v>
      </c>
      <c r="G24" s="169" t="s">
        <v>161</v>
      </c>
      <c r="H24" s="169"/>
      <c r="I24" s="169"/>
      <c r="J24" s="169"/>
      <c r="K24" s="169"/>
      <c r="L24" s="169"/>
      <c r="M24" s="169"/>
      <c r="N24" s="169"/>
      <c r="O24" s="169"/>
      <c r="P24" s="169"/>
      <c r="Q24" s="170"/>
      <c r="R24" s="171"/>
      <c r="S24" s="171"/>
      <c r="T24" s="121"/>
      <c r="U24" s="121"/>
      <c r="V24" s="121"/>
      <c r="W24" s="121"/>
      <c r="X24" s="121"/>
      <c r="Y24" s="121"/>
      <c r="Z24" s="121"/>
      <c r="AA24" s="121"/>
      <c r="AB24" s="121"/>
    </row>
    <row r="25" spans="1:28"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row>
    <row r="26" spans="1:28"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row>
    <row r="27" spans="1:28"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row>
    <row r="28" spans="1:28"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row>
    <row r="29" spans="1:28"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row>
    <row r="30" spans="1:28"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row>
    <row r="31" spans="1:28"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row r="359" spans="1:28"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c r="AB359" s="121"/>
    </row>
  </sheetData>
  <mergeCells count="32">
    <mergeCell ref="N19:N20"/>
    <mergeCell ref="M19:M20"/>
    <mergeCell ref="I19:I20"/>
    <mergeCell ref="G19:G20"/>
    <mergeCell ref="A4:S4"/>
    <mergeCell ref="A6:S6"/>
    <mergeCell ref="A7:S7"/>
    <mergeCell ref="A8:S8"/>
    <mergeCell ref="A18:S18"/>
    <mergeCell ref="A9:S9"/>
    <mergeCell ref="A10:S10"/>
    <mergeCell ref="A11:S11"/>
    <mergeCell ref="A12:S12"/>
    <mergeCell ref="A13:S13"/>
    <mergeCell ref="A14:S14"/>
    <mergeCell ref="A15:S15"/>
    <mergeCell ref="A16:S16"/>
    <mergeCell ref="A17:S17"/>
    <mergeCell ref="A19:A20"/>
    <mergeCell ref="D19:D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B1" zoomScale="70" zoomScaleNormal="60" zoomScaleSheetLayoutView="70" workbookViewId="0">
      <selection activeCell="D31" sqref="D31"/>
    </sheetView>
  </sheetViews>
  <sheetFormatPr defaultColWidth="10.7109375" defaultRowHeight="15.75" x14ac:dyDescent="0.25"/>
  <cols>
    <col min="1" max="1" width="9.5703125" style="146" customWidth="1"/>
    <col min="2" max="2" width="34.42578125" style="146" customWidth="1"/>
    <col min="3" max="3" width="45.140625" style="146" customWidth="1"/>
    <col min="4" max="4" width="31.140625" style="146" customWidth="1"/>
    <col min="5" max="5" width="30.5703125" style="146" customWidth="1"/>
    <col min="6" max="6" width="30.42578125" style="146" customWidth="1"/>
    <col min="7" max="7" width="23" style="146" customWidth="1"/>
    <col min="8" max="8" width="30.140625" style="146" customWidth="1"/>
    <col min="9" max="9" width="7.28515625" style="146" customWidth="1"/>
    <col min="10" max="10" width="9.28515625" style="146" customWidth="1"/>
    <col min="11" max="11" width="10.28515625" style="146" customWidth="1"/>
    <col min="12" max="15" width="8.7109375" style="146" customWidth="1"/>
    <col min="16" max="16" width="19.42578125" style="146" customWidth="1"/>
    <col min="17" max="17" width="35.28515625" style="146" customWidth="1"/>
    <col min="18" max="18" width="22" style="146" customWidth="1"/>
    <col min="19" max="19" width="35.7109375" style="146" customWidth="1"/>
    <col min="20" max="20" width="25.140625" style="146" customWidth="1"/>
    <col min="21" max="237" width="10.7109375" style="146"/>
    <col min="238" max="242" width="15.7109375" style="146" customWidth="1"/>
    <col min="243" max="246" width="12.7109375" style="146" customWidth="1"/>
    <col min="247" max="250" width="15.7109375" style="146" customWidth="1"/>
    <col min="251" max="251" width="22.85546875" style="146" customWidth="1"/>
    <col min="252" max="252" width="20.7109375" style="146" customWidth="1"/>
    <col min="253" max="253" width="16.7109375" style="146" customWidth="1"/>
    <col min="254" max="16384" width="10.7109375" style="146"/>
  </cols>
  <sheetData>
    <row r="1" spans="1:20" ht="3" customHeight="1" x14ac:dyDescent="0.25"/>
    <row r="2" spans="1:20" ht="15" customHeight="1" x14ac:dyDescent="0.25">
      <c r="T2" s="47" t="s">
        <v>22</v>
      </c>
    </row>
    <row r="3" spans="1:20" s="2" customFormat="1" ht="18.75" customHeight="1" x14ac:dyDescent="0.3">
      <c r="A3" s="45"/>
      <c r="T3" s="48" t="s">
        <v>6</v>
      </c>
    </row>
    <row r="4" spans="1:20" s="2" customFormat="1" ht="18.75" customHeight="1" x14ac:dyDescent="0.3">
      <c r="A4" s="45"/>
      <c r="T4" s="48" t="s">
        <v>21</v>
      </c>
    </row>
    <row r="5" spans="1:20" s="2" customFormat="1" ht="18.75" customHeight="1" x14ac:dyDescent="0.3">
      <c r="A5" s="45"/>
      <c r="T5" s="48"/>
    </row>
    <row r="6" spans="1:20" s="2" customFormat="1" x14ac:dyDescent="0.2">
      <c r="A6" s="193" t="str">
        <f>'1. паспорт местоположение'!$A$5</f>
        <v>Год раскрытия информации: 2019 год</v>
      </c>
      <c r="B6" s="193"/>
      <c r="C6" s="193"/>
      <c r="D6" s="193"/>
      <c r="E6" s="193"/>
      <c r="F6" s="193"/>
      <c r="G6" s="193"/>
      <c r="H6" s="193"/>
      <c r="I6" s="193"/>
      <c r="J6" s="193"/>
      <c r="K6" s="193"/>
      <c r="L6" s="193"/>
      <c r="M6" s="193"/>
      <c r="N6" s="193"/>
      <c r="O6" s="193"/>
      <c r="P6" s="193"/>
      <c r="Q6" s="193"/>
      <c r="R6" s="193"/>
      <c r="S6" s="193"/>
      <c r="T6" s="193"/>
    </row>
    <row r="7" spans="1:20" s="2" customFormat="1" x14ac:dyDescent="0.2">
      <c r="A7" s="131"/>
    </row>
    <row r="8" spans="1:20" s="2" customFormat="1" ht="18.75" x14ac:dyDescent="0.2">
      <c r="A8" s="197" t="s">
        <v>5</v>
      </c>
      <c r="B8" s="197"/>
      <c r="C8" s="197"/>
      <c r="D8" s="197"/>
      <c r="E8" s="197"/>
      <c r="F8" s="197"/>
      <c r="G8" s="197"/>
      <c r="H8" s="197"/>
      <c r="I8" s="197"/>
      <c r="J8" s="197"/>
      <c r="K8" s="197"/>
      <c r="L8" s="197"/>
      <c r="M8" s="197"/>
      <c r="N8" s="197"/>
      <c r="O8" s="197"/>
      <c r="P8" s="197"/>
      <c r="Q8" s="197"/>
      <c r="R8" s="197"/>
      <c r="S8" s="197"/>
      <c r="T8" s="197"/>
    </row>
    <row r="9" spans="1:20" s="2"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2" customFormat="1" ht="18.75" customHeight="1" x14ac:dyDescent="0.2">
      <c r="A10" s="198" t="s">
        <v>286</v>
      </c>
      <c r="B10" s="198"/>
      <c r="C10" s="198"/>
      <c r="D10" s="198"/>
      <c r="E10" s="198"/>
      <c r="F10" s="198"/>
      <c r="G10" s="198"/>
      <c r="H10" s="198"/>
      <c r="I10" s="198"/>
      <c r="J10" s="198"/>
      <c r="K10" s="198"/>
      <c r="L10" s="198"/>
      <c r="M10" s="198"/>
      <c r="N10" s="198"/>
      <c r="O10" s="198"/>
      <c r="P10" s="198"/>
      <c r="Q10" s="198"/>
      <c r="R10" s="198"/>
      <c r="S10" s="198"/>
      <c r="T10" s="198"/>
    </row>
    <row r="11" spans="1:20" s="2" customFormat="1" ht="18.75" customHeight="1" x14ac:dyDescent="0.2">
      <c r="A11" s="199" t="s">
        <v>4</v>
      </c>
      <c r="B11" s="199"/>
      <c r="C11" s="199"/>
      <c r="D11" s="199"/>
      <c r="E11" s="199"/>
      <c r="F11" s="199"/>
      <c r="G11" s="199"/>
      <c r="H11" s="199"/>
      <c r="I11" s="199"/>
      <c r="J11" s="199"/>
      <c r="K11" s="199"/>
      <c r="L11" s="199"/>
      <c r="M11" s="199"/>
      <c r="N11" s="199"/>
      <c r="O11" s="199"/>
      <c r="P11" s="199"/>
      <c r="Q11" s="199"/>
      <c r="R11" s="199"/>
      <c r="S11" s="199"/>
      <c r="T11" s="199"/>
    </row>
    <row r="12" spans="1:20" s="2"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2" customFormat="1" ht="18.75" customHeight="1" x14ac:dyDescent="0.2">
      <c r="A13" s="198" t="str">
        <f>'1. паспорт местоположение'!$A$12</f>
        <v>H_Che82</v>
      </c>
      <c r="B13" s="198"/>
      <c r="C13" s="198"/>
      <c r="D13" s="198"/>
      <c r="E13" s="198"/>
      <c r="F13" s="198"/>
      <c r="G13" s="198"/>
      <c r="H13" s="198"/>
      <c r="I13" s="198"/>
      <c r="J13" s="198"/>
      <c r="K13" s="198"/>
      <c r="L13" s="198"/>
      <c r="M13" s="198"/>
      <c r="N13" s="198"/>
      <c r="O13" s="198"/>
      <c r="P13" s="198"/>
      <c r="Q13" s="198"/>
      <c r="R13" s="198"/>
      <c r="S13" s="198"/>
      <c r="T13" s="198"/>
    </row>
    <row r="14" spans="1:20" s="2" customFormat="1" ht="18.75" customHeight="1" x14ac:dyDescent="0.2">
      <c r="A14" s="199" t="s">
        <v>3</v>
      </c>
      <c r="B14" s="199"/>
      <c r="C14" s="199"/>
      <c r="D14" s="199"/>
      <c r="E14" s="199"/>
      <c r="F14" s="199"/>
      <c r="G14" s="199"/>
      <c r="H14" s="199"/>
      <c r="I14" s="199"/>
      <c r="J14" s="199"/>
      <c r="K14" s="199"/>
      <c r="L14" s="199"/>
      <c r="M14" s="199"/>
      <c r="N14" s="199"/>
      <c r="O14" s="199"/>
      <c r="P14" s="199"/>
      <c r="Q14" s="199"/>
      <c r="R14" s="199"/>
      <c r="S14" s="199"/>
      <c r="T14" s="199"/>
    </row>
    <row r="15" spans="1:20" s="132"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133" customFormat="1" x14ac:dyDescent="0.2">
      <c r="A16" s="198"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6" s="198"/>
      <c r="C16" s="198"/>
      <c r="D16" s="198"/>
      <c r="E16" s="198"/>
      <c r="F16" s="198"/>
      <c r="G16" s="198"/>
      <c r="H16" s="198"/>
      <c r="I16" s="198"/>
      <c r="J16" s="198"/>
      <c r="K16" s="198"/>
      <c r="L16" s="198"/>
      <c r="M16" s="198"/>
      <c r="N16" s="198"/>
      <c r="O16" s="198"/>
      <c r="P16" s="198"/>
      <c r="Q16" s="198"/>
      <c r="R16" s="198"/>
      <c r="S16" s="198"/>
      <c r="T16" s="198"/>
    </row>
    <row r="17" spans="1:113" s="133" customFormat="1" ht="15" customHeight="1" x14ac:dyDescent="0.2">
      <c r="A17" s="199" t="s">
        <v>2</v>
      </c>
      <c r="B17" s="199"/>
      <c r="C17" s="199"/>
      <c r="D17" s="199"/>
      <c r="E17" s="199"/>
      <c r="F17" s="199"/>
      <c r="G17" s="199"/>
      <c r="H17" s="199"/>
      <c r="I17" s="199"/>
      <c r="J17" s="199"/>
      <c r="K17" s="199"/>
      <c r="L17" s="199"/>
      <c r="M17" s="199"/>
      <c r="N17" s="199"/>
      <c r="O17" s="199"/>
      <c r="P17" s="199"/>
      <c r="Q17" s="199"/>
      <c r="R17" s="199"/>
      <c r="S17" s="199"/>
      <c r="T17" s="199"/>
    </row>
    <row r="18" spans="1:113" s="13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133" customFormat="1" ht="15" customHeight="1" x14ac:dyDescent="0.2">
      <c r="A19" s="211" t="s">
        <v>343</v>
      </c>
      <c r="B19" s="211"/>
      <c r="C19" s="211"/>
      <c r="D19" s="211"/>
      <c r="E19" s="211"/>
      <c r="F19" s="211"/>
      <c r="G19" s="211"/>
      <c r="H19" s="211"/>
      <c r="I19" s="211"/>
      <c r="J19" s="211"/>
      <c r="K19" s="211"/>
      <c r="L19" s="211"/>
      <c r="M19" s="211"/>
      <c r="N19" s="211"/>
      <c r="O19" s="211"/>
      <c r="P19" s="211"/>
      <c r="Q19" s="211"/>
      <c r="R19" s="211"/>
      <c r="S19" s="211"/>
      <c r="T19" s="211"/>
    </row>
    <row r="20" spans="1:113" s="147"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13" t="s">
        <v>1</v>
      </c>
      <c r="B21" s="216" t="s">
        <v>344</v>
      </c>
      <c r="C21" s="217"/>
      <c r="D21" s="220" t="s">
        <v>345</v>
      </c>
      <c r="E21" s="216" t="s">
        <v>346</v>
      </c>
      <c r="F21" s="217"/>
      <c r="G21" s="216" t="s">
        <v>347</v>
      </c>
      <c r="H21" s="217"/>
      <c r="I21" s="216" t="s">
        <v>348</v>
      </c>
      <c r="J21" s="217"/>
      <c r="K21" s="220" t="s">
        <v>349</v>
      </c>
      <c r="L21" s="216" t="s">
        <v>350</v>
      </c>
      <c r="M21" s="217"/>
      <c r="N21" s="216" t="s">
        <v>351</v>
      </c>
      <c r="O21" s="217"/>
      <c r="P21" s="220" t="s">
        <v>352</v>
      </c>
      <c r="Q21" s="223" t="s">
        <v>47</v>
      </c>
      <c r="R21" s="224"/>
      <c r="S21" s="223" t="s">
        <v>46</v>
      </c>
      <c r="T21" s="225"/>
    </row>
    <row r="22" spans="1:113" ht="73.5" customHeight="1" x14ac:dyDescent="0.25">
      <c r="A22" s="214"/>
      <c r="B22" s="218"/>
      <c r="C22" s="219"/>
      <c r="D22" s="221"/>
      <c r="E22" s="218"/>
      <c r="F22" s="219"/>
      <c r="G22" s="218"/>
      <c r="H22" s="219"/>
      <c r="I22" s="218"/>
      <c r="J22" s="219"/>
      <c r="K22" s="222"/>
      <c r="L22" s="218"/>
      <c r="M22" s="219"/>
      <c r="N22" s="218"/>
      <c r="O22" s="219"/>
      <c r="P22" s="222"/>
      <c r="Q22" s="39" t="s">
        <v>45</v>
      </c>
      <c r="R22" s="39" t="s">
        <v>263</v>
      </c>
      <c r="S22" s="39" t="s">
        <v>44</v>
      </c>
      <c r="T22" s="39" t="s">
        <v>43</v>
      </c>
    </row>
    <row r="23" spans="1:113" ht="27" customHeight="1" x14ac:dyDescent="0.25">
      <c r="A23" s="215"/>
      <c r="B23" s="39" t="s">
        <v>41</v>
      </c>
      <c r="C23" s="39" t="s">
        <v>42</v>
      </c>
      <c r="D23" s="222"/>
      <c r="E23" s="39" t="s">
        <v>41</v>
      </c>
      <c r="F23" s="39" t="s">
        <v>42</v>
      </c>
      <c r="G23" s="39" t="s">
        <v>41</v>
      </c>
      <c r="H23" s="39" t="s">
        <v>42</v>
      </c>
      <c r="I23" s="39" t="s">
        <v>41</v>
      </c>
      <c r="J23" s="39" t="s">
        <v>42</v>
      </c>
      <c r="K23" s="39" t="s">
        <v>41</v>
      </c>
      <c r="L23" s="39" t="s">
        <v>41</v>
      </c>
      <c r="M23" s="39" t="s">
        <v>42</v>
      </c>
      <c r="N23" s="39" t="s">
        <v>41</v>
      </c>
      <c r="O23" s="39" t="s">
        <v>42</v>
      </c>
      <c r="P23" s="70" t="s">
        <v>41</v>
      </c>
      <c r="Q23" s="39" t="s">
        <v>41</v>
      </c>
      <c r="R23" s="39" t="s">
        <v>41</v>
      </c>
      <c r="S23" s="39" t="s">
        <v>41</v>
      </c>
      <c r="T23" s="39" t="s">
        <v>41</v>
      </c>
    </row>
    <row r="24" spans="1:113" x14ac:dyDescent="0.25">
      <c r="A24" s="158">
        <v>1</v>
      </c>
      <c r="B24" s="158">
        <v>2</v>
      </c>
      <c r="C24" s="158">
        <v>3</v>
      </c>
      <c r="D24" s="158">
        <v>4</v>
      </c>
      <c r="E24" s="158">
        <v>5</v>
      </c>
      <c r="F24" s="158">
        <v>6</v>
      </c>
      <c r="G24" s="158">
        <v>7</v>
      </c>
      <c r="H24" s="158">
        <v>8</v>
      </c>
      <c r="I24" s="158">
        <v>9</v>
      </c>
      <c r="J24" s="158">
        <v>10</v>
      </c>
      <c r="K24" s="158">
        <v>11</v>
      </c>
      <c r="L24" s="158">
        <v>12</v>
      </c>
      <c r="M24" s="158">
        <v>13</v>
      </c>
      <c r="N24" s="158">
        <v>14</v>
      </c>
      <c r="O24" s="158">
        <v>15</v>
      </c>
      <c r="P24" s="158">
        <v>16</v>
      </c>
      <c r="Q24" s="158">
        <v>17</v>
      </c>
      <c r="R24" s="158">
        <v>18</v>
      </c>
      <c r="S24" s="158">
        <v>19</v>
      </c>
      <c r="T24" s="158">
        <v>20</v>
      </c>
    </row>
    <row r="25" spans="1:113" s="147" customFormat="1" ht="96" customHeight="1" x14ac:dyDescent="0.25">
      <c r="A25" s="175">
        <v>1</v>
      </c>
      <c r="B25" s="39" t="s">
        <v>470</v>
      </c>
      <c r="C25" s="39" t="s">
        <v>470</v>
      </c>
      <c r="D25" s="174" t="s">
        <v>474</v>
      </c>
      <c r="E25" s="174" t="s">
        <v>471</v>
      </c>
      <c r="F25" s="174" t="s">
        <v>472</v>
      </c>
      <c r="G25" s="174" t="s">
        <v>471</v>
      </c>
      <c r="H25" s="174" t="s">
        <v>472</v>
      </c>
      <c r="I25" s="159">
        <v>2003</v>
      </c>
      <c r="J25" s="159">
        <v>2018</v>
      </c>
      <c r="K25" s="159">
        <v>2013</v>
      </c>
      <c r="L25" s="159">
        <v>110</v>
      </c>
      <c r="M25" s="159">
        <v>110</v>
      </c>
      <c r="N25" s="159">
        <v>25</v>
      </c>
      <c r="O25" s="159">
        <v>25</v>
      </c>
      <c r="P25" s="159" t="s">
        <v>353</v>
      </c>
      <c r="Q25" s="159" t="s">
        <v>473</v>
      </c>
      <c r="R25" s="159" t="s">
        <v>473</v>
      </c>
      <c r="S25" s="159" t="s">
        <v>473</v>
      </c>
      <c r="T25" s="159" t="s">
        <v>473</v>
      </c>
    </row>
    <row r="26" spans="1:113" ht="21.75" customHeight="1" x14ac:dyDescent="0.25"/>
    <row r="27" spans="1:113" s="156" customFormat="1" ht="12.75" x14ac:dyDescent="0.2">
      <c r="B27" s="155"/>
      <c r="C27" s="155"/>
      <c r="K27" s="155"/>
    </row>
    <row r="28" spans="1:113" s="156" customFormat="1" x14ac:dyDescent="0.25">
      <c r="B28" s="160" t="s">
        <v>354</v>
      </c>
      <c r="C28" s="160"/>
      <c r="D28" s="160"/>
      <c r="E28" s="160"/>
      <c r="F28" s="160"/>
      <c r="G28" s="160"/>
      <c r="H28" s="160"/>
      <c r="I28" s="160"/>
      <c r="J28" s="160"/>
      <c r="K28" s="160"/>
      <c r="L28" s="160"/>
      <c r="M28" s="160"/>
      <c r="N28" s="160"/>
      <c r="O28" s="160"/>
      <c r="P28" s="160"/>
      <c r="Q28" s="160"/>
      <c r="R28" s="160"/>
    </row>
    <row r="29" spans="1:113" x14ac:dyDescent="0.25">
      <c r="B29" s="210" t="s">
        <v>355</v>
      </c>
      <c r="C29" s="210"/>
      <c r="D29" s="210"/>
      <c r="E29" s="210"/>
      <c r="F29" s="210"/>
      <c r="G29" s="210"/>
      <c r="H29" s="210"/>
      <c r="I29" s="210"/>
      <c r="J29" s="210"/>
      <c r="K29" s="210"/>
      <c r="L29" s="210"/>
      <c r="M29" s="210"/>
      <c r="N29" s="210"/>
      <c r="O29" s="210"/>
      <c r="P29" s="210"/>
      <c r="Q29" s="210"/>
      <c r="R29" s="210"/>
    </row>
    <row r="30" spans="1:113" x14ac:dyDescent="0.25">
      <c r="B30" s="160"/>
      <c r="C30" s="160"/>
      <c r="D30" s="160"/>
      <c r="E30" s="160"/>
      <c r="F30" s="160"/>
      <c r="G30" s="160"/>
      <c r="H30" s="160"/>
      <c r="I30" s="160"/>
      <c r="J30" s="160"/>
      <c r="K30" s="160"/>
      <c r="L30" s="160"/>
      <c r="M30" s="160"/>
      <c r="N30" s="160"/>
      <c r="O30" s="160"/>
      <c r="P30" s="160"/>
      <c r="Q30" s="160"/>
      <c r="R30" s="160"/>
      <c r="S30" s="160"/>
      <c r="T30" s="160"/>
      <c r="U30" s="160"/>
      <c r="V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c r="BI30" s="160"/>
      <c r="BJ30" s="160"/>
      <c r="BK30" s="160"/>
      <c r="BL30" s="160"/>
      <c r="BM30" s="160"/>
      <c r="BN30" s="160"/>
      <c r="BO30" s="160"/>
      <c r="BP30" s="160"/>
      <c r="BQ30" s="160"/>
      <c r="BR30" s="160"/>
      <c r="BS30" s="160"/>
      <c r="BT30" s="160"/>
      <c r="BU30" s="160"/>
      <c r="BV30" s="160"/>
      <c r="BW30" s="160"/>
      <c r="BX30" s="160"/>
      <c r="BY30" s="160"/>
      <c r="BZ30" s="160"/>
      <c r="CA30" s="160"/>
      <c r="CB30" s="160"/>
      <c r="CC30" s="160"/>
      <c r="CD30" s="160"/>
      <c r="CE30" s="160"/>
      <c r="CF30" s="160"/>
      <c r="CG30" s="160"/>
      <c r="CH30" s="160"/>
      <c r="CI30" s="160"/>
      <c r="CJ30" s="160"/>
      <c r="CK30" s="160"/>
      <c r="CL30" s="160"/>
      <c r="CM30" s="160"/>
      <c r="CN30" s="160"/>
      <c r="CO30" s="160"/>
      <c r="CP30" s="160"/>
      <c r="CQ30" s="160"/>
      <c r="CR30" s="160"/>
      <c r="CS30" s="160"/>
      <c r="CT30" s="160"/>
      <c r="CU30" s="160"/>
      <c r="CV30" s="160"/>
      <c r="CW30" s="160"/>
      <c r="CX30" s="160"/>
      <c r="CY30" s="160"/>
      <c r="CZ30" s="160"/>
      <c r="DA30" s="160"/>
      <c r="DB30" s="160"/>
      <c r="DC30" s="160"/>
      <c r="DD30" s="160"/>
      <c r="DE30" s="160"/>
      <c r="DF30" s="160"/>
      <c r="DG30" s="160"/>
      <c r="DH30" s="160"/>
      <c r="DI30" s="160"/>
    </row>
    <row r="31" spans="1:113" x14ac:dyDescent="0.25">
      <c r="B31" s="161" t="s">
        <v>356</v>
      </c>
      <c r="C31" s="161"/>
      <c r="D31" s="161"/>
      <c r="E31" s="161"/>
      <c r="F31" s="154"/>
      <c r="G31" s="154"/>
      <c r="H31" s="161"/>
      <c r="I31" s="161"/>
      <c r="J31" s="161"/>
      <c r="K31" s="161"/>
      <c r="L31" s="161"/>
      <c r="M31" s="161"/>
      <c r="N31" s="161"/>
      <c r="O31" s="161"/>
      <c r="P31" s="161"/>
      <c r="Q31" s="161"/>
      <c r="R31" s="161"/>
      <c r="S31" s="162"/>
      <c r="T31" s="162"/>
      <c r="U31" s="162"/>
      <c r="V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2"/>
    </row>
    <row r="32" spans="1:113" x14ac:dyDescent="0.25">
      <c r="B32" s="161" t="s">
        <v>357</v>
      </c>
      <c r="C32" s="161"/>
      <c r="D32" s="161"/>
      <c r="E32" s="161"/>
      <c r="F32" s="154"/>
      <c r="G32" s="154"/>
      <c r="H32" s="161"/>
      <c r="I32" s="161"/>
      <c r="J32" s="161"/>
      <c r="K32" s="161"/>
      <c r="L32" s="161"/>
      <c r="M32" s="161"/>
      <c r="N32" s="161"/>
      <c r="O32" s="161"/>
      <c r="P32" s="161"/>
      <c r="Q32" s="161"/>
      <c r="R32" s="161"/>
      <c r="AN32" s="160"/>
      <c r="AO32" s="160"/>
      <c r="AP32" s="160"/>
      <c r="AQ32" s="160"/>
      <c r="AR32" s="160"/>
      <c r="AS32" s="160"/>
      <c r="AT32" s="160"/>
      <c r="AU32" s="160"/>
      <c r="AV32" s="160"/>
      <c r="AW32" s="160"/>
      <c r="AX32" s="160"/>
      <c r="AY32" s="160"/>
      <c r="AZ32" s="160"/>
      <c r="BA32" s="160"/>
      <c r="BB32" s="160"/>
      <c r="BC32" s="160"/>
      <c r="BD32" s="160"/>
      <c r="BE32" s="160"/>
      <c r="BF32" s="160"/>
      <c r="BG32" s="160"/>
      <c r="BH32" s="160"/>
      <c r="BI32" s="160"/>
      <c r="BJ32" s="160"/>
      <c r="BK32" s="160"/>
      <c r="BL32" s="160"/>
      <c r="BM32" s="160"/>
      <c r="BN32" s="160"/>
      <c r="BO32" s="160"/>
      <c r="BP32" s="160"/>
      <c r="BQ32" s="160"/>
      <c r="BR32" s="160"/>
      <c r="BS32" s="160"/>
      <c r="BT32" s="160"/>
      <c r="BU32" s="160"/>
      <c r="BV32" s="160"/>
      <c r="BW32" s="160"/>
      <c r="BX32" s="160"/>
      <c r="BY32" s="160"/>
      <c r="BZ32" s="160"/>
      <c r="CA32" s="160"/>
      <c r="CB32" s="160"/>
      <c r="CC32" s="160"/>
      <c r="CD32" s="160"/>
      <c r="CE32" s="160"/>
      <c r="CF32" s="160"/>
      <c r="CG32" s="160"/>
      <c r="CH32" s="160"/>
      <c r="CI32" s="160"/>
      <c r="CJ32" s="160"/>
      <c r="CK32" s="160"/>
      <c r="CL32" s="160"/>
      <c r="CM32" s="160"/>
      <c r="CN32" s="160"/>
      <c r="CO32" s="160"/>
      <c r="CP32" s="160"/>
      <c r="CQ32" s="160"/>
      <c r="CR32" s="160"/>
      <c r="CS32" s="160"/>
      <c r="CT32" s="160"/>
      <c r="CU32" s="160"/>
      <c r="CV32" s="160"/>
      <c r="CW32" s="160"/>
      <c r="CX32" s="160"/>
      <c r="CY32" s="160"/>
      <c r="CZ32" s="160"/>
      <c r="DA32" s="160"/>
      <c r="DB32" s="160"/>
      <c r="DC32" s="160"/>
      <c r="DD32" s="160"/>
      <c r="DE32" s="160"/>
      <c r="DF32" s="160"/>
      <c r="DG32" s="160"/>
      <c r="DH32" s="160"/>
      <c r="DI32" s="160"/>
    </row>
    <row r="33" spans="2:113" s="154" customFormat="1" x14ac:dyDescent="0.25">
      <c r="B33" s="161" t="s">
        <v>358</v>
      </c>
      <c r="C33" s="161"/>
      <c r="D33" s="161"/>
      <c r="E33" s="161"/>
      <c r="H33" s="161"/>
      <c r="I33" s="161"/>
      <c r="J33" s="161"/>
      <c r="K33" s="161"/>
      <c r="L33" s="161"/>
      <c r="M33" s="161"/>
      <c r="N33" s="161"/>
      <c r="O33" s="161"/>
      <c r="P33" s="161"/>
      <c r="Q33" s="161"/>
      <c r="R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row>
    <row r="34" spans="2:113" s="154" customFormat="1" x14ac:dyDescent="0.25">
      <c r="B34" s="161" t="s">
        <v>359</v>
      </c>
      <c r="C34" s="161"/>
      <c r="D34" s="161"/>
      <c r="E34" s="161"/>
      <c r="H34" s="161"/>
      <c r="I34" s="161"/>
      <c r="J34" s="161"/>
      <c r="K34" s="161"/>
      <c r="L34" s="161"/>
      <c r="M34" s="161"/>
      <c r="N34" s="161"/>
      <c r="O34" s="161"/>
      <c r="P34" s="161"/>
      <c r="Q34" s="161"/>
      <c r="R34" s="161"/>
      <c r="S34" s="161"/>
      <c r="T34" s="161"/>
      <c r="U34" s="161"/>
      <c r="V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row>
    <row r="35" spans="2:113" s="154" customFormat="1" x14ac:dyDescent="0.25">
      <c r="B35" s="161" t="s">
        <v>360</v>
      </c>
      <c r="C35" s="161"/>
      <c r="D35" s="161"/>
      <c r="E35" s="161"/>
      <c r="H35" s="161"/>
      <c r="I35" s="161"/>
      <c r="J35" s="161"/>
      <c r="K35" s="161"/>
      <c r="L35" s="161"/>
      <c r="M35" s="161"/>
      <c r="N35" s="161"/>
      <c r="O35" s="161"/>
      <c r="P35" s="161"/>
      <c r="Q35" s="161"/>
      <c r="R35" s="161"/>
      <c r="S35" s="161"/>
      <c r="T35" s="161"/>
      <c r="U35" s="161"/>
      <c r="V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row>
    <row r="36" spans="2:113" s="154" customFormat="1" x14ac:dyDescent="0.25">
      <c r="B36" s="161" t="s">
        <v>361</v>
      </c>
      <c r="C36" s="161"/>
      <c r="D36" s="161"/>
      <c r="E36" s="161"/>
      <c r="H36" s="161"/>
      <c r="I36" s="161"/>
      <c r="J36" s="161"/>
      <c r="K36" s="161"/>
      <c r="L36" s="161"/>
      <c r="M36" s="161"/>
      <c r="N36" s="161"/>
      <c r="O36" s="161"/>
      <c r="P36" s="161"/>
      <c r="Q36" s="161"/>
      <c r="R36" s="161"/>
      <c r="S36" s="161"/>
      <c r="T36" s="161"/>
      <c r="U36" s="161"/>
      <c r="V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row>
    <row r="37" spans="2:113" s="154" customFormat="1" x14ac:dyDescent="0.25">
      <c r="B37" s="161" t="s">
        <v>362</v>
      </c>
      <c r="C37" s="161"/>
      <c r="D37" s="161"/>
      <c r="E37" s="161"/>
      <c r="H37" s="161"/>
      <c r="I37" s="161"/>
      <c r="J37" s="161"/>
      <c r="K37" s="161"/>
      <c r="L37" s="161"/>
      <c r="M37" s="161"/>
      <c r="N37" s="161"/>
      <c r="O37" s="161"/>
      <c r="P37" s="161"/>
      <c r="Q37" s="161"/>
      <c r="R37" s="161"/>
      <c r="S37" s="161"/>
      <c r="T37" s="161"/>
      <c r="U37" s="161"/>
      <c r="V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row>
    <row r="38" spans="2:113" s="154" customFormat="1" x14ac:dyDescent="0.25">
      <c r="B38" s="161" t="s">
        <v>363</v>
      </c>
      <c r="C38" s="161"/>
      <c r="D38" s="161"/>
      <c r="E38" s="161"/>
      <c r="H38" s="161"/>
      <c r="I38" s="161"/>
      <c r="J38" s="161"/>
      <c r="K38" s="161"/>
      <c r="L38" s="161"/>
      <c r="M38" s="161"/>
      <c r="N38" s="161"/>
      <c r="O38" s="161"/>
      <c r="P38" s="161"/>
      <c r="Q38" s="161"/>
      <c r="R38" s="161"/>
      <c r="S38" s="161"/>
      <c r="T38" s="161"/>
      <c r="U38" s="161"/>
      <c r="V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row>
    <row r="39" spans="2:113" s="154" customFormat="1" x14ac:dyDescent="0.25">
      <c r="B39" s="161" t="s">
        <v>364</v>
      </c>
      <c r="C39" s="161"/>
      <c r="D39" s="161"/>
      <c r="E39" s="161"/>
      <c r="H39" s="161"/>
      <c r="I39" s="161"/>
      <c r="J39" s="161"/>
      <c r="K39" s="161"/>
      <c r="L39" s="161"/>
      <c r="M39" s="161"/>
      <c r="N39" s="161"/>
      <c r="O39" s="161"/>
      <c r="P39" s="161"/>
      <c r="Q39" s="161"/>
      <c r="R39" s="161"/>
      <c r="S39" s="161"/>
      <c r="T39" s="161"/>
      <c r="U39" s="161"/>
      <c r="V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row>
    <row r="40" spans="2:113" s="154" customFormat="1" x14ac:dyDescent="0.25">
      <c r="B40" s="161" t="s">
        <v>365</v>
      </c>
      <c r="C40" s="161"/>
      <c r="D40" s="161"/>
      <c r="E40" s="161"/>
      <c r="H40" s="161"/>
      <c r="I40" s="161"/>
      <c r="J40" s="161"/>
      <c r="K40" s="161"/>
      <c r="L40" s="161"/>
      <c r="M40" s="161"/>
      <c r="N40" s="161"/>
      <c r="O40" s="161"/>
      <c r="P40" s="161"/>
      <c r="Q40" s="161"/>
      <c r="R40" s="161"/>
      <c r="S40" s="161"/>
      <c r="T40" s="161"/>
      <c r="U40" s="161"/>
      <c r="V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row>
    <row r="41" spans="2:113" s="154" customFormat="1" x14ac:dyDescent="0.25">
      <c r="Q41" s="161"/>
      <c r="R41" s="161"/>
      <c r="S41" s="161"/>
      <c r="T41" s="161"/>
      <c r="U41" s="161"/>
      <c r="V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row>
    <row r="42" spans="2:113" s="154" customFormat="1" x14ac:dyDescent="0.25">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Normal="100" zoomScaleSheetLayoutView="70" workbookViewId="0">
      <selection activeCell="I30" sqref="I30"/>
    </sheetView>
  </sheetViews>
  <sheetFormatPr defaultColWidth="17.7109375" defaultRowHeight="15.75" x14ac:dyDescent="0.25"/>
  <cols>
    <col min="1" max="1" width="10.7109375" style="146" customWidth="1"/>
    <col min="2" max="5" width="31.7109375" style="146" customWidth="1"/>
    <col min="6" max="6" width="8.7109375" style="146" customWidth="1"/>
    <col min="7" max="7" width="10.28515625" style="146" customWidth="1"/>
    <col min="8" max="8" width="8.7109375" style="146" customWidth="1"/>
    <col min="9" max="9" width="8.28515625" style="146" customWidth="1"/>
    <col min="10" max="10" width="20.140625" style="146" customWidth="1"/>
    <col min="11" max="11" width="11.140625" style="146" customWidth="1"/>
    <col min="12" max="12" width="8.85546875" style="146" customWidth="1"/>
    <col min="13" max="13" width="11.140625" style="146" customWidth="1"/>
    <col min="14" max="14" width="13.7109375" style="146" customWidth="1"/>
    <col min="15" max="16" width="8.7109375" style="146" customWidth="1"/>
    <col min="17" max="17" width="11.85546875" style="146" customWidth="1"/>
    <col min="18" max="18" width="12" style="146" customWidth="1"/>
    <col min="19" max="19" width="18.28515625" style="146" customWidth="1"/>
    <col min="20" max="20" width="22.42578125" style="146" customWidth="1"/>
    <col min="21" max="21" width="30.7109375" style="146" customWidth="1"/>
    <col min="22" max="22" width="6.28515625" style="146" customWidth="1"/>
    <col min="23" max="23" width="12.140625" style="146" customWidth="1"/>
    <col min="24" max="24" width="24.5703125" style="146" customWidth="1"/>
    <col min="25" max="25" width="15.28515625" style="146" customWidth="1"/>
    <col min="26" max="26" width="18.5703125" style="146" customWidth="1"/>
    <col min="27" max="27" width="19.140625" style="146" customWidth="1"/>
    <col min="28" max="240" width="10.7109375" style="146" customWidth="1"/>
    <col min="241" max="242" width="15.7109375" style="146" customWidth="1"/>
    <col min="243" max="245" width="14.7109375" style="146" customWidth="1"/>
    <col min="246" max="249" width="13.7109375" style="146" customWidth="1"/>
    <col min="250" max="253" width="15.7109375" style="146" customWidth="1"/>
    <col min="254" max="254" width="22.85546875" style="146" customWidth="1"/>
    <col min="255" max="255" width="20.7109375" style="146" customWidth="1"/>
    <col min="256" max="16384" width="17.7109375" style="146"/>
  </cols>
  <sheetData>
    <row r="1" spans="1:27" ht="25.5" customHeight="1" x14ac:dyDescent="0.25">
      <c r="AA1" s="47" t="s">
        <v>22</v>
      </c>
    </row>
    <row r="2" spans="1:27" s="2" customFormat="1" ht="18.75" customHeight="1" x14ac:dyDescent="0.3">
      <c r="E2" s="45"/>
      <c r="AA2" s="48" t="s">
        <v>6</v>
      </c>
    </row>
    <row r="3" spans="1:27" s="2" customFormat="1" ht="18.75" customHeight="1" x14ac:dyDescent="0.3">
      <c r="E3" s="45"/>
      <c r="AA3" s="48" t="s">
        <v>21</v>
      </c>
    </row>
    <row r="4" spans="1:27" s="2" customFormat="1" x14ac:dyDescent="0.2">
      <c r="E4" s="131"/>
    </row>
    <row r="5" spans="1:27" s="2" customFormat="1" x14ac:dyDescent="0.2">
      <c r="A5" s="193" t="str">
        <f>'1. паспорт местоположение'!$A$5</f>
        <v>Год раскрытия информации: 2019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2" customFormat="1" x14ac:dyDescent="0.2">
      <c r="A6" s="68"/>
      <c r="B6" s="68"/>
      <c r="C6" s="68"/>
      <c r="D6" s="68"/>
      <c r="E6" s="68"/>
      <c r="F6" s="68"/>
      <c r="G6" s="68"/>
      <c r="H6" s="68"/>
      <c r="I6" s="68"/>
      <c r="J6" s="68"/>
      <c r="K6" s="68"/>
      <c r="L6" s="68"/>
      <c r="M6" s="68"/>
      <c r="N6" s="68"/>
      <c r="O6" s="68"/>
      <c r="P6" s="68"/>
      <c r="Q6" s="68"/>
      <c r="R6" s="68"/>
      <c r="S6" s="68"/>
      <c r="T6" s="68"/>
    </row>
    <row r="7" spans="1:27" s="2" customFormat="1" ht="18.75" x14ac:dyDescent="0.2">
      <c r="E7" s="197" t="s">
        <v>5</v>
      </c>
      <c r="F7" s="197"/>
      <c r="G7" s="197"/>
      <c r="H7" s="197"/>
      <c r="I7" s="197"/>
      <c r="J7" s="197"/>
      <c r="K7" s="197"/>
      <c r="L7" s="197"/>
      <c r="M7" s="197"/>
      <c r="N7" s="197"/>
      <c r="O7" s="197"/>
      <c r="P7" s="197"/>
      <c r="Q7" s="197"/>
      <c r="R7" s="197"/>
      <c r="S7" s="197"/>
      <c r="T7" s="197"/>
      <c r="U7" s="197"/>
      <c r="V7" s="197"/>
      <c r="W7" s="197"/>
      <c r="X7" s="197"/>
      <c r="Y7" s="197"/>
    </row>
    <row r="8" spans="1:27" s="2" customFormat="1" ht="18.75" x14ac:dyDescent="0.2">
      <c r="E8" s="80"/>
      <c r="F8" s="80"/>
      <c r="G8" s="80"/>
      <c r="H8" s="80"/>
      <c r="I8" s="80"/>
      <c r="J8" s="80"/>
      <c r="K8" s="80"/>
      <c r="L8" s="80"/>
      <c r="M8" s="80"/>
      <c r="N8" s="80"/>
      <c r="O8" s="80"/>
      <c r="P8" s="80"/>
      <c r="Q8" s="80"/>
      <c r="R8" s="80"/>
      <c r="S8" s="79"/>
      <c r="T8" s="79"/>
      <c r="U8" s="79"/>
      <c r="V8" s="79"/>
      <c r="W8" s="79"/>
    </row>
    <row r="9" spans="1:27" s="2" customFormat="1" ht="18.75" customHeight="1" x14ac:dyDescent="0.2">
      <c r="E9" s="208" t="s">
        <v>285</v>
      </c>
      <c r="F9" s="208"/>
      <c r="G9" s="208"/>
      <c r="H9" s="208"/>
      <c r="I9" s="208"/>
      <c r="J9" s="208"/>
      <c r="K9" s="208"/>
      <c r="L9" s="208"/>
      <c r="M9" s="208"/>
      <c r="N9" s="208"/>
      <c r="O9" s="208"/>
      <c r="P9" s="208"/>
      <c r="Q9" s="208"/>
      <c r="R9" s="208"/>
      <c r="S9" s="208"/>
      <c r="T9" s="208"/>
      <c r="U9" s="208"/>
      <c r="V9" s="208"/>
      <c r="W9" s="208"/>
      <c r="X9" s="208"/>
      <c r="Y9" s="208"/>
    </row>
    <row r="10" spans="1:27" s="2" customFormat="1" ht="18.75" customHeight="1" x14ac:dyDescent="0.2">
      <c r="E10" s="199" t="s">
        <v>4</v>
      </c>
      <c r="F10" s="199"/>
      <c r="G10" s="199"/>
      <c r="H10" s="199"/>
      <c r="I10" s="199"/>
      <c r="J10" s="199"/>
      <c r="K10" s="199"/>
      <c r="L10" s="199"/>
      <c r="M10" s="199"/>
      <c r="N10" s="199"/>
      <c r="O10" s="199"/>
      <c r="P10" s="199"/>
      <c r="Q10" s="199"/>
      <c r="R10" s="199"/>
      <c r="S10" s="199"/>
      <c r="T10" s="199"/>
      <c r="U10" s="199"/>
      <c r="V10" s="199"/>
      <c r="W10" s="199"/>
      <c r="X10" s="199"/>
      <c r="Y10" s="199"/>
    </row>
    <row r="11" spans="1:27" s="2" customFormat="1" ht="18.75" x14ac:dyDescent="0.2">
      <c r="E11" s="80"/>
      <c r="F11" s="80"/>
      <c r="G11" s="80"/>
      <c r="H11" s="80"/>
      <c r="I11" s="80"/>
      <c r="J11" s="80"/>
      <c r="K11" s="80"/>
      <c r="L11" s="80"/>
      <c r="M11" s="80"/>
      <c r="N11" s="80"/>
      <c r="O11" s="80"/>
      <c r="P11" s="80"/>
      <c r="Q11" s="80"/>
      <c r="R11" s="80"/>
      <c r="S11" s="79"/>
      <c r="T11" s="79"/>
      <c r="U11" s="79"/>
      <c r="V11" s="79"/>
      <c r="W11" s="79"/>
    </row>
    <row r="12" spans="1:27" s="2" customFormat="1" ht="18.75" customHeight="1" x14ac:dyDescent="0.2">
      <c r="E12" s="208" t="str">
        <f>'1. паспорт местоположение'!$A$12</f>
        <v>H_Che82</v>
      </c>
      <c r="F12" s="208"/>
      <c r="G12" s="208"/>
      <c r="H12" s="208"/>
      <c r="I12" s="208"/>
      <c r="J12" s="208"/>
      <c r="K12" s="208"/>
      <c r="L12" s="208"/>
      <c r="M12" s="208"/>
      <c r="N12" s="208"/>
      <c r="O12" s="208"/>
      <c r="P12" s="208"/>
      <c r="Q12" s="208"/>
      <c r="R12" s="208"/>
      <c r="S12" s="208"/>
      <c r="T12" s="208"/>
      <c r="U12" s="208"/>
      <c r="V12" s="208"/>
      <c r="W12" s="208"/>
      <c r="X12" s="208"/>
      <c r="Y12" s="208"/>
    </row>
    <row r="13" spans="1:27" s="2" customFormat="1" ht="18.75" customHeight="1" x14ac:dyDescent="0.2">
      <c r="E13" s="199" t="s">
        <v>3</v>
      </c>
      <c r="F13" s="199"/>
      <c r="G13" s="199"/>
      <c r="H13" s="199"/>
      <c r="I13" s="199"/>
      <c r="J13" s="199"/>
      <c r="K13" s="199"/>
      <c r="L13" s="199"/>
      <c r="M13" s="199"/>
      <c r="N13" s="199"/>
      <c r="O13" s="199"/>
      <c r="P13" s="199"/>
      <c r="Q13" s="199"/>
      <c r="R13" s="199"/>
      <c r="S13" s="199"/>
      <c r="T13" s="199"/>
      <c r="U13" s="199"/>
      <c r="V13" s="199"/>
      <c r="W13" s="199"/>
      <c r="X13" s="199"/>
      <c r="Y13" s="199"/>
    </row>
    <row r="14" spans="1:27" s="132" customFormat="1" ht="15.75" customHeight="1" x14ac:dyDescent="0.2">
      <c r="E14" s="69"/>
      <c r="F14" s="69"/>
      <c r="G14" s="69"/>
      <c r="H14" s="69"/>
      <c r="I14" s="69"/>
      <c r="J14" s="69"/>
      <c r="K14" s="69"/>
      <c r="L14" s="69"/>
      <c r="M14" s="69"/>
      <c r="N14" s="69"/>
      <c r="O14" s="69"/>
      <c r="P14" s="69"/>
      <c r="Q14" s="69"/>
      <c r="R14" s="69"/>
      <c r="S14" s="69"/>
      <c r="T14" s="69"/>
      <c r="U14" s="69"/>
      <c r="V14" s="69"/>
      <c r="W14" s="69"/>
    </row>
    <row r="15" spans="1:27" s="133" customFormat="1" ht="40.5" customHeight="1" x14ac:dyDescent="0.2">
      <c r="E15" s="20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F15" s="200"/>
      <c r="G15" s="200"/>
      <c r="H15" s="200"/>
      <c r="I15" s="200"/>
      <c r="J15" s="200"/>
      <c r="K15" s="200"/>
      <c r="L15" s="200"/>
      <c r="M15" s="200"/>
      <c r="N15" s="200"/>
      <c r="O15" s="200"/>
      <c r="P15" s="200"/>
      <c r="Q15" s="200"/>
      <c r="R15" s="200"/>
      <c r="S15" s="200"/>
      <c r="T15" s="200"/>
      <c r="U15" s="200"/>
      <c r="V15" s="200"/>
      <c r="W15" s="200"/>
      <c r="X15" s="200"/>
      <c r="Y15" s="200"/>
    </row>
    <row r="16" spans="1:27" s="133" customFormat="1" ht="15" customHeight="1" x14ac:dyDescent="0.2">
      <c r="E16" s="199" t="s">
        <v>2</v>
      </c>
      <c r="F16" s="199"/>
      <c r="G16" s="199"/>
      <c r="H16" s="199"/>
      <c r="I16" s="199"/>
      <c r="J16" s="199"/>
      <c r="K16" s="199"/>
      <c r="L16" s="199"/>
      <c r="M16" s="199"/>
      <c r="N16" s="199"/>
      <c r="O16" s="199"/>
      <c r="P16" s="199"/>
      <c r="Q16" s="199"/>
      <c r="R16" s="199"/>
      <c r="S16" s="199"/>
      <c r="T16" s="199"/>
      <c r="U16" s="199"/>
      <c r="V16" s="199"/>
      <c r="W16" s="199"/>
      <c r="X16" s="199"/>
      <c r="Y16" s="199"/>
    </row>
    <row r="17" spans="1:27" s="133" customFormat="1" ht="15" customHeight="1" x14ac:dyDescent="0.2">
      <c r="E17" s="134"/>
      <c r="F17" s="134"/>
      <c r="G17" s="134"/>
      <c r="H17" s="134"/>
      <c r="I17" s="134"/>
      <c r="J17" s="134"/>
      <c r="K17" s="134"/>
      <c r="L17" s="134"/>
      <c r="M17" s="134"/>
      <c r="N17" s="134"/>
      <c r="O17" s="134"/>
      <c r="P17" s="134"/>
      <c r="Q17" s="134"/>
      <c r="R17" s="134"/>
      <c r="S17" s="134"/>
      <c r="T17" s="134"/>
      <c r="U17" s="134"/>
      <c r="V17" s="134"/>
      <c r="W17" s="134"/>
    </row>
    <row r="18" spans="1:27" s="13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265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147" customFormat="1" ht="21" customHeight="1" x14ac:dyDescent="0.25"/>
    <row r="21" spans="1:27" ht="15.75" customHeight="1" x14ac:dyDescent="0.25">
      <c r="A21" s="220" t="s">
        <v>1</v>
      </c>
      <c r="B21" s="216" t="s">
        <v>270</v>
      </c>
      <c r="C21" s="217"/>
      <c r="D21" s="216" t="s">
        <v>272</v>
      </c>
      <c r="E21" s="217"/>
      <c r="F21" s="223" t="s">
        <v>34</v>
      </c>
      <c r="G21" s="225"/>
      <c r="H21" s="225"/>
      <c r="I21" s="224"/>
      <c r="J21" s="220" t="s">
        <v>273</v>
      </c>
      <c r="K21" s="216" t="s">
        <v>274</v>
      </c>
      <c r="L21" s="217"/>
      <c r="M21" s="216" t="s">
        <v>275</v>
      </c>
      <c r="N21" s="217"/>
      <c r="O21" s="216" t="s">
        <v>264</v>
      </c>
      <c r="P21" s="217"/>
      <c r="Q21" s="216" t="s">
        <v>52</v>
      </c>
      <c r="R21" s="217"/>
      <c r="S21" s="220" t="s">
        <v>51</v>
      </c>
      <c r="T21" s="220" t="s">
        <v>276</v>
      </c>
      <c r="U21" s="220" t="s">
        <v>271</v>
      </c>
      <c r="V21" s="216" t="s">
        <v>50</v>
      </c>
      <c r="W21" s="217"/>
      <c r="X21" s="223" t="s">
        <v>47</v>
      </c>
      <c r="Y21" s="225"/>
      <c r="Z21" s="223" t="s">
        <v>46</v>
      </c>
      <c r="AA21" s="225"/>
    </row>
    <row r="22" spans="1:27" ht="216" customHeight="1" x14ac:dyDescent="0.25">
      <c r="A22" s="221"/>
      <c r="B22" s="218"/>
      <c r="C22" s="219"/>
      <c r="D22" s="218"/>
      <c r="E22" s="219"/>
      <c r="F22" s="223" t="s">
        <v>49</v>
      </c>
      <c r="G22" s="224"/>
      <c r="H22" s="223" t="s">
        <v>48</v>
      </c>
      <c r="I22" s="224"/>
      <c r="J22" s="222"/>
      <c r="K22" s="218"/>
      <c r="L22" s="219"/>
      <c r="M22" s="218"/>
      <c r="N22" s="219"/>
      <c r="O22" s="218"/>
      <c r="P22" s="219"/>
      <c r="Q22" s="218"/>
      <c r="R22" s="219"/>
      <c r="S22" s="222"/>
      <c r="T22" s="222"/>
      <c r="U22" s="222"/>
      <c r="V22" s="218"/>
      <c r="W22" s="219"/>
      <c r="X22" s="39" t="s">
        <v>45</v>
      </c>
      <c r="Y22" s="39" t="s">
        <v>263</v>
      </c>
      <c r="Z22" s="39" t="s">
        <v>44</v>
      </c>
      <c r="AA22" s="39" t="s">
        <v>43</v>
      </c>
    </row>
    <row r="23" spans="1:27" ht="60" customHeight="1" x14ac:dyDescent="0.25">
      <c r="A23" s="222"/>
      <c r="B23" s="70" t="s">
        <v>41</v>
      </c>
      <c r="C23" s="70" t="s">
        <v>42</v>
      </c>
      <c r="D23" s="70" t="s">
        <v>41</v>
      </c>
      <c r="E23" s="70" t="s">
        <v>42</v>
      </c>
      <c r="F23" s="70" t="s">
        <v>41</v>
      </c>
      <c r="G23" s="70" t="s">
        <v>42</v>
      </c>
      <c r="H23" s="70" t="s">
        <v>41</v>
      </c>
      <c r="I23" s="70" t="s">
        <v>42</v>
      </c>
      <c r="J23" s="70" t="s">
        <v>41</v>
      </c>
      <c r="K23" s="70" t="s">
        <v>41</v>
      </c>
      <c r="L23" s="70" t="s">
        <v>42</v>
      </c>
      <c r="M23" s="70" t="s">
        <v>41</v>
      </c>
      <c r="N23" s="70" t="s">
        <v>42</v>
      </c>
      <c r="O23" s="70" t="s">
        <v>41</v>
      </c>
      <c r="P23" s="70" t="s">
        <v>42</v>
      </c>
      <c r="Q23" s="70" t="s">
        <v>41</v>
      </c>
      <c r="R23" s="70" t="s">
        <v>42</v>
      </c>
      <c r="S23" s="70" t="s">
        <v>41</v>
      </c>
      <c r="T23" s="70" t="s">
        <v>41</v>
      </c>
      <c r="U23" s="70" t="s">
        <v>41</v>
      </c>
      <c r="V23" s="70" t="s">
        <v>41</v>
      </c>
      <c r="W23" s="70" t="s">
        <v>42</v>
      </c>
      <c r="X23" s="70" t="s">
        <v>41</v>
      </c>
      <c r="Y23" s="70" t="s">
        <v>41</v>
      </c>
      <c r="Z23" s="39" t="s">
        <v>41</v>
      </c>
      <c r="AA23" s="39" t="s">
        <v>41</v>
      </c>
    </row>
    <row r="24" spans="1:27" x14ac:dyDescent="0.25">
      <c r="A24" s="148">
        <v>1</v>
      </c>
      <c r="B24" s="148">
        <v>2</v>
      </c>
      <c r="C24" s="148">
        <v>3</v>
      </c>
      <c r="D24" s="148">
        <v>4</v>
      </c>
      <c r="E24" s="148">
        <v>5</v>
      </c>
      <c r="F24" s="148">
        <v>6</v>
      </c>
      <c r="G24" s="148">
        <v>7</v>
      </c>
      <c r="H24" s="148">
        <v>8</v>
      </c>
      <c r="I24" s="148">
        <v>9</v>
      </c>
      <c r="J24" s="148">
        <v>10</v>
      </c>
      <c r="K24" s="148">
        <v>11</v>
      </c>
      <c r="L24" s="148">
        <v>12</v>
      </c>
      <c r="M24" s="148">
        <v>13</v>
      </c>
      <c r="N24" s="148">
        <v>14</v>
      </c>
      <c r="O24" s="148">
        <v>15</v>
      </c>
      <c r="P24" s="148">
        <v>16</v>
      </c>
      <c r="Q24" s="148">
        <v>19</v>
      </c>
      <c r="R24" s="148">
        <v>20</v>
      </c>
      <c r="S24" s="148">
        <v>21</v>
      </c>
      <c r="T24" s="148">
        <v>22</v>
      </c>
      <c r="U24" s="148">
        <v>23</v>
      </c>
      <c r="V24" s="148">
        <v>24</v>
      </c>
      <c r="W24" s="148">
        <v>25</v>
      </c>
      <c r="X24" s="148">
        <v>26</v>
      </c>
      <c r="Y24" s="148">
        <v>27</v>
      </c>
      <c r="Z24" s="148">
        <v>28</v>
      </c>
      <c r="AA24" s="148">
        <v>29</v>
      </c>
    </row>
    <row r="25" spans="1:27" s="147" customFormat="1" ht="50.25" customHeight="1" x14ac:dyDescent="0.25">
      <c r="A25" s="149">
        <v>1</v>
      </c>
      <c r="B25" s="150" t="s">
        <v>339</v>
      </c>
      <c r="C25" s="150" t="s">
        <v>339</v>
      </c>
      <c r="D25" s="150" t="s">
        <v>339</v>
      </c>
      <c r="E25" s="150" t="s">
        <v>339</v>
      </c>
      <c r="F25" s="150" t="s">
        <v>339</v>
      </c>
      <c r="G25" s="150" t="s">
        <v>339</v>
      </c>
      <c r="H25" s="150" t="s">
        <v>339</v>
      </c>
      <c r="I25" s="150" t="s">
        <v>339</v>
      </c>
      <c r="J25" s="150" t="s">
        <v>339</v>
      </c>
      <c r="K25" s="150" t="s">
        <v>339</v>
      </c>
      <c r="L25" s="150" t="s">
        <v>339</v>
      </c>
      <c r="M25" s="150" t="s">
        <v>339</v>
      </c>
      <c r="N25" s="150" t="s">
        <v>339</v>
      </c>
      <c r="O25" s="150" t="s">
        <v>339</v>
      </c>
      <c r="P25" s="150" t="s">
        <v>339</v>
      </c>
      <c r="Q25" s="150" t="s">
        <v>339</v>
      </c>
      <c r="R25" s="150" t="s">
        <v>339</v>
      </c>
      <c r="S25" s="150" t="s">
        <v>339</v>
      </c>
      <c r="T25" s="150" t="s">
        <v>339</v>
      </c>
      <c r="U25" s="150" t="s">
        <v>339</v>
      </c>
      <c r="V25" s="150" t="s">
        <v>339</v>
      </c>
      <c r="W25" s="150" t="s">
        <v>339</v>
      </c>
      <c r="X25" s="150" t="s">
        <v>339</v>
      </c>
      <c r="Y25" s="150" t="s">
        <v>339</v>
      </c>
      <c r="Z25" s="150" t="s">
        <v>339</v>
      </c>
      <c r="AA25" s="151" t="s">
        <v>339</v>
      </c>
    </row>
    <row r="26" spans="1:27" ht="3" customHeight="1" x14ac:dyDescent="0.25">
      <c r="X26" s="152"/>
      <c r="Y26" s="153"/>
      <c r="Z26" s="154"/>
      <c r="AA26" s="154"/>
    </row>
    <row r="27" spans="1:27" s="156" customFormat="1" ht="12.75" x14ac:dyDescent="0.2">
      <c r="A27" s="155"/>
      <c r="B27" s="155"/>
      <c r="C27" s="155"/>
      <c r="E27" s="155"/>
      <c r="X27" s="157"/>
      <c r="Y27" s="157"/>
      <c r="Z27" s="157"/>
      <c r="AA27" s="157"/>
    </row>
    <row r="28" spans="1:27" s="156" customFormat="1" ht="12.75" x14ac:dyDescent="0.2">
      <c r="A28" s="155"/>
      <c r="B28" s="155"/>
      <c r="C28" s="155"/>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zoomScaleNormal="100" workbookViewId="0">
      <selection activeCell="C28" sqref="C28:C30"/>
    </sheetView>
  </sheetViews>
  <sheetFormatPr defaultRowHeight="15" x14ac:dyDescent="0.25"/>
  <cols>
    <col min="1" max="1" width="6.140625" style="122" customWidth="1"/>
    <col min="2" max="2" width="53.5703125" style="122" customWidth="1"/>
    <col min="3" max="3" width="98.28515625" style="122"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2" customFormat="1" ht="18.75" customHeight="1" x14ac:dyDescent="0.2">
      <c r="A1" s="45"/>
      <c r="C1" s="47" t="s">
        <v>22</v>
      </c>
    </row>
    <row r="2" spans="1:29" s="2" customFormat="1" ht="18.75" customHeight="1" x14ac:dyDescent="0.3">
      <c r="A2" s="45"/>
      <c r="C2" s="48" t="s">
        <v>6</v>
      </c>
    </row>
    <row r="3" spans="1:29" s="2" customFormat="1" ht="18.75" x14ac:dyDescent="0.3">
      <c r="A3" s="131"/>
      <c r="C3" s="48" t="s">
        <v>21</v>
      </c>
    </row>
    <row r="4" spans="1:29" s="2" customFormat="1" ht="18.75" x14ac:dyDescent="0.3">
      <c r="A4" s="131"/>
      <c r="C4" s="48"/>
    </row>
    <row r="5" spans="1:29" s="2" customFormat="1" ht="15.75" x14ac:dyDescent="0.2">
      <c r="A5" s="193" t="str">
        <f>'1. паспорт местоположение'!$A$5</f>
        <v>Год раскрытия информации: 2019 год</v>
      </c>
      <c r="B5" s="193"/>
      <c r="C5" s="193"/>
      <c r="D5" s="34"/>
      <c r="E5" s="34"/>
      <c r="F5" s="34"/>
      <c r="G5" s="34"/>
      <c r="H5" s="34"/>
      <c r="I5" s="34"/>
      <c r="J5" s="34"/>
      <c r="K5" s="34"/>
      <c r="L5" s="34"/>
      <c r="M5" s="34"/>
      <c r="N5" s="34"/>
      <c r="O5" s="34"/>
      <c r="P5" s="34"/>
      <c r="Q5" s="34"/>
      <c r="R5" s="34"/>
      <c r="S5" s="34"/>
      <c r="T5" s="34"/>
      <c r="U5" s="34"/>
      <c r="V5" s="34"/>
      <c r="W5" s="34"/>
      <c r="X5" s="34"/>
      <c r="Y5" s="34"/>
      <c r="Z5" s="34"/>
      <c r="AA5" s="34"/>
      <c r="AB5" s="34"/>
      <c r="AC5" s="34"/>
    </row>
    <row r="6" spans="1:29" s="2" customFormat="1" ht="18.75" x14ac:dyDescent="0.3">
      <c r="A6" s="131"/>
      <c r="G6" s="48"/>
    </row>
    <row r="7" spans="1:29" s="2" customFormat="1" ht="18.75" x14ac:dyDescent="0.2">
      <c r="A7" s="197" t="s">
        <v>5</v>
      </c>
      <c r="B7" s="197"/>
      <c r="C7" s="197"/>
      <c r="D7" s="79"/>
      <c r="E7" s="79"/>
      <c r="F7" s="79"/>
      <c r="G7" s="79"/>
      <c r="H7" s="79"/>
      <c r="I7" s="79"/>
      <c r="J7" s="79"/>
      <c r="K7" s="79"/>
      <c r="L7" s="79"/>
      <c r="M7" s="79"/>
      <c r="N7" s="79"/>
      <c r="O7" s="79"/>
      <c r="P7" s="79"/>
      <c r="Q7" s="79"/>
      <c r="R7" s="79"/>
      <c r="S7" s="79"/>
      <c r="T7" s="79"/>
      <c r="U7" s="79"/>
    </row>
    <row r="8" spans="1:29" s="2" customFormat="1" ht="18.75" x14ac:dyDescent="0.2">
      <c r="A8" s="197"/>
      <c r="B8" s="197"/>
      <c r="C8" s="197"/>
      <c r="D8" s="80"/>
      <c r="E8" s="80"/>
      <c r="F8" s="80"/>
      <c r="G8" s="80"/>
      <c r="H8" s="79"/>
      <c r="I8" s="79"/>
      <c r="J8" s="79"/>
      <c r="K8" s="79"/>
      <c r="L8" s="79"/>
      <c r="M8" s="79"/>
      <c r="N8" s="79"/>
      <c r="O8" s="79"/>
      <c r="P8" s="79"/>
      <c r="Q8" s="79"/>
      <c r="R8" s="79"/>
      <c r="S8" s="79"/>
      <c r="T8" s="79"/>
      <c r="U8" s="79"/>
    </row>
    <row r="9" spans="1:29" s="2" customFormat="1" ht="18.75" x14ac:dyDescent="0.2">
      <c r="A9" s="198" t="s">
        <v>286</v>
      </c>
      <c r="B9" s="198"/>
      <c r="C9" s="198"/>
      <c r="D9" s="82"/>
      <c r="E9" s="82"/>
      <c r="F9" s="82"/>
      <c r="G9" s="82"/>
      <c r="H9" s="79"/>
      <c r="I9" s="79"/>
      <c r="J9" s="79"/>
      <c r="K9" s="79"/>
      <c r="L9" s="79"/>
      <c r="M9" s="79"/>
      <c r="N9" s="79"/>
      <c r="O9" s="79"/>
      <c r="P9" s="79"/>
      <c r="Q9" s="79"/>
      <c r="R9" s="79"/>
      <c r="S9" s="79"/>
      <c r="T9" s="79"/>
      <c r="U9" s="79"/>
    </row>
    <row r="10" spans="1:29" s="2" customFormat="1" ht="18.75" x14ac:dyDescent="0.2">
      <c r="A10" s="199" t="s">
        <v>4</v>
      </c>
      <c r="B10" s="199"/>
      <c r="C10" s="199"/>
      <c r="D10" s="83"/>
      <c r="E10" s="83"/>
      <c r="F10" s="83"/>
      <c r="G10" s="83"/>
      <c r="H10" s="79"/>
      <c r="I10" s="79"/>
      <c r="J10" s="79"/>
      <c r="K10" s="79"/>
      <c r="L10" s="79"/>
      <c r="M10" s="79"/>
      <c r="N10" s="79"/>
      <c r="O10" s="79"/>
      <c r="P10" s="79"/>
      <c r="Q10" s="79"/>
      <c r="R10" s="79"/>
      <c r="S10" s="79"/>
      <c r="T10" s="79"/>
      <c r="U10" s="79"/>
    </row>
    <row r="11" spans="1:29" s="2" customFormat="1" ht="18.75" x14ac:dyDescent="0.2">
      <c r="A11" s="197"/>
      <c r="B11" s="197"/>
      <c r="C11" s="197"/>
      <c r="D11" s="80"/>
      <c r="E11" s="80"/>
      <c r="F11" s="80"/>
      <c r="G11" s="80"/>
      <c r="H11" s="79"/>
      <c r="I11" s="79"/>
      <c r="J11" s="79"/>
      <c r="K11" s="79"/>
      <c r="L11" s="79"/>
      <c r="M11" s="79"/>
      <c r="N11" s="79"/>
      <c r="O11" s="79"/>
      <c r="P11" s="79"/>
      <c r="Q11" s="79"/>
      <c r="R11" s="79"/>
      <c r="S11" s="79"/>
      <c r="T11" s="79"/>
      <c r="U11" s="79"/>
    </row>
    <row r="12" spans="1:29" s="2" customFormat="1" ht="18.75" x14ac:dyDescent="0.2">
      <c r="A12" s="198" t="str">
        <f>'1. паспорт местоположение'!$A$12</f>
        <v>H_Che82</v>
      </c>
      <c r="B12" s="198"/>
      <c r="C12" s="198"/>
      <c r="D12" s="82"/>
      <c r="E12" s="82"/>
      <c r="F12" s="82"/>
      <c r="G12" s="82"/>
      <c r="H12" s="79"/>
      <c r="I12" s="79"/>
      <c r="J12" s="79"/>
      <c r="K12" s="79"/>
      <c r="L12" s="79"/>
      <c r="M12" s="79"/>
      <c r="N12" s="79"/>
      <c r="O12" s="79"/>
      <c r="P12" s="79"/>
      <c r="Q12" s="79"/>
      <c r="R12" s="79"/>
      <c r="S12" s="79"/>
      <c r="T12" s="79"/>
      <c r="U12" s="79"/>
    </row>
    <row r="13" spans="1:29" s="2" customFormat="1" ht="18.75" x14ac:dyDescent="0.2">
      <c r="A13" s="199" t="s">
        <v>3</v>
      </c>
      <c r="B13" s="199"/>
      <c r="C13" s="199"/>
      <c r="D13" s="83"/>
      <c r="E13" s="83"/>
      <c r="F13" s="83"/>
      <c r="G13" s="83"/>
      <c r="H13" s="79"/>
      <c r="I13" s="79"/>
      <c r="J13" s="79"/>
      <c r="K13" s="79"/>
      <c r="L13" s="79"/>
      <c r="M13" s="79"/>
      <c r="N13" s="79"/>
      <c r="O13" s="79"/>
      <c r="P13" s="79"/>
      <c r="Q13" s="79"/>
      <c r="R13" s="79"/>
      <c r="S13" s="79"/>
      <c r="T13" s="79"/>
      <c r="U13" s="79"/>
    </row>
    <row r="14" spans="1:29" s="132" customFormat="1" ht="15.75" customHeight="1" x14ac:dyDescent="0.2">
      <c r="A14" s="209"/>
      <c r="B14" s="209"/>
      <c r="C14" s="209"/>
      <c r="D14" s="69"/>
      <c r="E14" s="69"/>
      <c r="F14" s="69"/>
      <c r="G14" s="69"/>
      <c r="H14" s="69"/>
      <c r="I14" s="69"/>
      <c r="J14" s="69"/>
      <c r="K14" s="69"/>
      <c r="L14" s="69"/>
      <c r="M14" s="69"/>
      <c r="N14" s="69"/>
      <c r="O14" s="69"/>
      <c r="P14" s="69"/>
      <c r="Q14" s="69"/>
      <c r="R14" s="69"/>
      <c r="S14" s="69"/>
      <c r="T14" s="69"/>
      <c r="U14" s="69"/>
    </row>
    <row r="15" spans="1:29" s="133" customFormat="1" ht="47.25" customHeight="1" x14ac:dyDescent="0.2">
      <c r="A15" s="20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200"/>
      <c r="C15" s="200"/>
      <c r="D15" s="82"/>
      <c r="E15" s="82"/>
      <c r="F15" s="82"/>
      <c r="G15" s="82"/>
      <c r="H15" s="82"/>
      <c r="I15" s="82"/>
      <c r="J15" s="82"/>
      <c r="K15" s="82"/>
      <c r="L15" s="82"/>
      <c r="M15" s="82"/>
      <c r="N15" s="82"/>
      <c r="O15" s="82"/>
      <c r="P15" s="82"/>
      <c r="Q15" s="82"/>
      <c r="R15" s="82"/>
      <c r="S15" s="82"/>
      <c r="T15" s="82"/>
      <c r="U15" s="82"/>
    </row>
    <row r="16" spans="1:29" s="133" customFormat="1" ht="15" customHeight="1" x14ac:dyDescent="0.2">
      <c r="A16" s="199" t="s">
        <v>2</v>
      </c>
      <c r="B16" s="199"/>
      <c r="C16" s="199"/>
      <c r="D16" s="83"/>
      <c r="E16" s="83"/>
      <c r="F16" s="83"/>
      <c r="G16" s="83"/>
      <c r="H16" s="83"/>
      <c r="I16" s="83"/>
      <c r="J16" s="83"/>
      <c r="K16" s="83"/>
      <c r="L16" s="83"/>
      <c r="M16" s="83"/>
      <c r="N16" s="83"/>
      <c r="O16" s="83"/>
      <c r="P16" s="83"/>
      <c r="Q16" s="83"/>
      <c r="R16" s="83"/>
      <c r="S16" s="83"/>
      <c r="T16" s="83"/>
      <c r="U16" s="83"/>
    </row>
    <row r="17" spans="1:21" s="133" customFormat="1" ht="15" customHeight="1" x14ac:dyDescent="0.2">
      <c r="A17" s="201"/>
      <c r="B17" s="201"/>
      <c r="C17" s="201"/>
      <c r="D17" s="134"/>
      <c r="E17" s="134"/>
      <c r="F17" s="134"/>
      <c r="G17" s="134"/>
      <c r="H17" s="134"/>
      <c r="I17" s="134"/>
      <c r="J17" s="134"/>
      <c r="K17" s="134"/>
      <c r="L17" s="134"/>
      <c r="M17" s="134"/>
      <c r="N17" s="134"/>
      <c r="O17" s="134"/>
      <c r="P17" s="134"/>
      <c r="Q17" s="134"/>
      <c r="R17" s="134"/>
    </row>
    <row r="18" spans="1:21" s="133" customFormat="1" ht="27.75" customHeight="1" x14ac:dyDescent="0.2">
      <c r="A18" s="202" t="s">
        <v>260</v>
      </c>
      <c r="B18" s="202"/>
      <c r="C18" s="202"/>
      <c r="D18" s="135"/>
      <c r="E18" s="135"/>
      <c r="F18" s="135"/>
      <c r="G18" s="135"/>
      <c r="H18" s="135"/>
      <c r="I18" s="135"/>
      <c r="J18" s="135"/>
      <c r="K18" s="135"/>
      <c r="L18" s="135"/>
      <c r="M18" s="135"/>
      <c r="N18" s="135"/>
      <c r="O18" s="135"/>
      <c r="P18" s="135"/>
      <c r="Q18" s="135"/>
      <c r="R18" s="135"/>
      <c r="S18" s="135"/>
      <c r="T18" s="135"/>
      <c r="U18" s="135"/>
    </row>
    <row r="19" spans="1:21" s="133" customFormat="1" ht="15" customHeight="1" x14ac:dyDescent="0.2">
      <c r="A19" s="83"/>
      <c r="B19" s="83"/>
      <c r="C19" s="83"/>
      <c r="D19" s="83"/>
      <c r="E19" s="83"/>
      <c r="F19" s="83"/>
      <c r="G19" s="83"/>
      <c r="H19" s="134"/>
      <c r="I19" s="134"/>
      <c r="J19" s="134"/>
      <c r="K19" s="134"/>
      <c r="L19" s="134"/>
      <c r="M19" s="134"/>
      <c r="N19" s="134"/>
      <c r="O19" s="134"/>
      <c r="P19" s="134"/>
      <c r="Q19" s="134"/>
      <c r="R19" s="134"/>
    </row>
    <row r="20" spans="1:21" s="133" customFormat="1" ht="39.75" customHeight="1" x14ac:dyDescent="0.2">
      <c r="A20" s="136" t="s">
        <v>1</v>
      </c>
      <c r="B20" s="137" t="s">
        <v>20</v>
      </c>
      <c r="C20" s="138" t="s">
        <v>19</v>
      </c>
      <c r="D20" s="139"/>
      <c r="E20" s="139"/>
      <c r="F20" s="139"/>
      <c r="G20" s="139"/>
      <c r="H20" s="69"/>
      <c r="I20" s="69"/>
      <c r="J20" s="69"/>
      <c r="K20" s="69"/>
      <c r="L20" s="69"/>
      <c r="M20" s="69"/>
      <c r="N20" s="69"/>
      <c r="O20" s="69"/>
      <c r="P20" s="69"/>
      <c r="Q20" s="69"/>
      <c r="R20" s="69"/>
      <c r="S20" s="140"/>
      <c r="T20" s="140"/>
      <c r="U20" s="140"/>
    </row>
    <row r="21" spans="1:21" s="133" customFormat="1" ht="16.5" customHeight="1" x14ac:dyDescent="0.2">
      <c r="A21" s="138">
        <v>1</v>
      </c>
      <c r="B21" s="137">
        <v>2</v>
      </c>
      <c r="C21" s="138">
        <v>3</v>
      </c>
      <c r="D21" s="139"/>
      <c r="E21" s="139"/>
      <c r="F21" s="139"/>
      <c r="G21" s="139"/>
      <c r="H21" s="69"/>
      <c r="I21" s="69"/>
      <c r="J21" s="69"/>
      <c r="K21" s="69"/>
      <c r="L21" s="69"/>
      <c r="M21" s="69"/>
      <c r="N21" s="69"/>
      <c r="O21" s="69"/>
      <c r="P21" s="69"/>
      <c r="Q21" s="69"/>
      <c r="R21" s="69"/>
      <c r="S21" s="140"/>
      <c r="T21" s="140"/>
      <c r="U21" s="140"/>
    </row>
    <row r="22" spans="1:21" s="133" customFormat="1" ht="42.75" customHeight="1" x14ac:dyDescent="0.2">
      <c r="A22" s="3" t="s">
        <v>18</v>
      </c>
      <c r="B22" s="5" t="s">
        <v>268</v>
      </c>
      <c r="C22" s="4" t="s">
        <v>490</v>
      </c>
      <c r="D22" s="139"/>
      <c r="E22" s="139"/>
      <c r="F22" s="69"/>
      <c r="G22" s="69"/>
      <c r="H22" s="69"/>
      <c r="I22" s="69"/>
      <c r="J22" s="69"/>
      <c r="K22" s="69"/>
      <c r="L22" s="69"/>
      <c r="M22" s="69"/>
      <c r="N22" s="69"/>
      <c r="O22" s="69"/>
      <c r="P22" s="69"/>
      <c r="Q22" s="140"/>
      <c r="R22" s="140"/>
      <c r="S22" s="140"/>
      <c r="T22" s="140"/>
      <c r="U22" s="140"/>
    </row>
    <row r="23" spans="1:21" ht="90.75" customHeight="1" x14ac:dyDescent="0.25">
      <c r="A23" s="3" t="s">
        <v>17</v>
      </c>
      <c r="B23" s="141" t="s">
        <v>14</v>
      </c>
      <c r="C23" s="32" t="s">
        <v>491</v>
      </c>
      <c r="D23" s="121"/>
      <c r="E23" s="121"/>
      <c r="F23" s="121"/>
      <c r="G23" s="121"/>
      <c r="H23" s="121"/>
      <c r="I23" s="121"/>
      <c r="J23" s="121"/>
      <c r="K23" s="121"/>
      <c r="L23" s="121"/>
      <c r="M23" s="121"/>
      <c r="N23" s="121"/>
      <c r="O23" s="121"/>
      <c r="P23" s="121"/>
      <c r="Q23" s="121"/>
      <c r="R23" s="121"/>
      <c r="S23" s="121"/>
      <c r="T23" s="121"/>
      <c r="U23" s="121"/>
    </row>
    <row r="24" spans="1:21" ht="101.25" customHeight="1" x14ac:dyDescent="0.25">
      <c r="A24" s="3" t="s">
        <v>16</v>
      </c>
      <c r="B24" s="141" t="s">
        <v>280</v>
      </c>
      <c r="C24" s="8" t="s">
        <v>452</v>
      </c>
      <c r="D24" s="121"/>
      <c r="E24" s="121"/>
      <c r="F24" s="121"/>
      <c r="G24" s="121"/>
      <c r="H24" s="121"/>
      <c r="I24" s="121"/>
      <c r="J24" s="121"/>
      <c r="K24" s="121"/>
      <c r="L24" s="121"/>
      <c r="M24" s="121"/>
      <c r="N24" s="121"/>
      <c r="O24" s="121"/>
      <c r="P24" s="121"/>
      <c r="Q24" s="121"/>
      <c r="R24" s="121"/>
      <c r="S24" s="121"/>
      <c r="T24" s="121"/>
      <c r="U24" s="121"/>
    </row>
    <row r="25" spans="1:21" ht="63" customHeight="1" x14ac:dyDescent="0.25">
      <c r="A25" s="3" t="s">
        <v>15</v>
      </c>
      <c r="B25" s="141" t="s">
        <v>281</v>
      </c>
      <c r="C25" s="142" t="s">
        <v>492</v>
      </c>
      <c r="D25" s="143" t="str">
        <f>IF(('6.2. Паспорт фин осв ввод'!D54)&gt;0,(ROUND(('6.2. Паспорт фин осв ввод'!D52/'6.2. Паспорт фин осв ввод'!D54),2)&amp;"млн.руб./МВА "),"-")</f>
        <v>-</v>
      </c>
      <c r="E25" s="144" t="str">
        <f>IF(('6.2. Паспорт фин осв ввод'!D56)&gt;0,(ROUND(('6.2. Паспорт фин осв ввод'!D52/'6.2. Паспорт фин осв ввод'!D56),2)&amp;" млн.руб./км"),"-")</f>
        <v>-</v>
      </c>
      <c r="F25" s="121"/>
      <c r="G25" s="121"/>
      <c r="H25" s="121"/>
      <c r="I25" s="121"/>
      <c r="J25" s="121"/>
      <c r="K25" s="121"/>
      <c r="L25" s="121"/>
      <c r="M25" s="121"/>
      <c r="N25" s="121"/>
      <c r="O25" s="121"/>
      <c r="P25" s="121"/>
      <c r="Q25" s="121"/>
      <c r="R25" s="121"/>
      <c r="S25" s="121"/>
      <c r="T25" s="121"/>
      <c r="U25" s="121"/>
    </row>
    <row r="26" spans="1:21" ht="42.75" customHeight="1" x14ac:dyDescent="0.25">
      <c r="A26" s="3" t="s">
        <v>13</v>
      </c>
      <c r="B26" s="141" t="s">
        <v>154</v>
      </c>
      <c r="C26" s="136" t="s">
        <v>366</v>
      </c>
      <c r="D26" s="121"/>
      <c r="E26" s="121"/>
      <c r="F26" s="121"/>
      <c r="G26" s="121"/>
      <c r="H26" s="121"/>
      <c r="I26" s="121"/>
      <c r="J26" s="121"/>
      <c r="K26" s="121"/>
      <c r="L26" s="121"/>
      <c r="M26" s="121"/>
      <c r="N26" s="121"/>
      <c r="O26" s="121"/>
      <c r="P26" s="121"/>
      <c r="Q26" s="121"/>
      <c r="R26" s="121"/>
      <c r="S26" s="121"/>
      <c r="T26" s="121"/>
      <c r="U26" s="121"/>
    </row>
    <row r="27" spans="1:21" ht="57.75" customHeight="1" x14ac:dyDescent="0.25">
      <c r="A27" s="3" t="s">
        <v>12</v>
      </c>
      <c r="B27" s="141" t="s">
        <v>269</v>
      </c>
      <c r="C27" s="136" t="s">
        <v>476</v>
      </c>
      <c r="D27" s="121"/>
      <c r="E27" s="121"/>
      <c r="F27" s="121"/>
      <c r="G27" s="121"/>
      <c r="H27" s="121"/>
      <c r="I27" s="121"/>
      <c r="J27" s="121"/>
      <c r="K27" s="121"/>
      <c r="L27" s="121"/>
      <c r="M27" s="121"/>
      <c r="N27" s="121"/>
      <c r="O27" s="121"/>
      <c r="P27" s="121"/>
      <c r="Q27" s="121"/>
      <c r="R27" s="121"/>
      <c r="S27" s="121"/>
      <c r="T27" s="121"/>
      <c r="U27" s="121"/>
    </row>
    <row r="28" spans="1:21" ht="42.75" customHeight="1" x14ac:dyDescent="0.25">
      <c r="A28" s="3" t="s">
        <v>10</v>
      </c>
      <c r="B28" s="141" t="s">
        <v>11</v>
      </c>
      <c r="C28" s="64">
        <f>VLOOKUP($A$12,'[1]6.2. отчет'!$D:$OP,399,0)</f>
        <v>2019</v>
      </c>
      <c r="D28" s="121"/>
      <c r="E28" s="121"/>
      <c r="F28" s="121"/>
      <c r="G28" s="121"/>
      <c r="H28" s="121"/>
      <c r="I28" s="121"/>
      <c r="J28" s="121"/>
      <c r="K28" s="121"/>
      <c r="L28" s="121"/>
      <c r="M28" s="121"/>
      <c r="N28" s="121"/>
      <c r="O28" s="121"/>
      <c r="P28" s="121"/>
      <c r="Q28" s="121"/>
      <c r="R28" s="121"/>
      <c r="S28" s="121"/>
      <c r="T28" s="121"/>
      <c r="U28" s="121"/>
    </row>
    <row r="29" spans="1:21" ht="42.75" customHeight="1" x14ac:dyDescent="0.25">
      <c r="A29" s="3" t="s">
        <v>8</v>
      </c>
      <c r="B29" s="136" t="s">
        <v>9</v>
      </c>
      <c r="C29" s="64">
        <f>VLOOKUP($A$12,'[1]6.2. отчет'!$D:$OP,402,0)</f>
        <v>2020</v>
      </c>
      <c r="D29" s="121"/>
      <c r="E29" s="121"/>
      <c r="F29" s="121"/>
      <c r="G29" s="121"/>
      <c r="H29" s="121"/>
      <c r="I29" s="121"/>
      <c r="J29" s="121"/>
      <c r="K29" s="121"/>
      <c r="L29" s="121"/>
      <c r="M29" s="121"/>
      <c r="N29" s="121"/>
      <c r="O29" s="121"/>
      <c r="P29" s="121"/>
      <c r="Q29" s="121"/>
      <c r="R29" s="121"/>
      <c r="S29" s="121"/>
      <c r="T29" s="121"/>
      <c r="U29" s="121"/>
    </row>
    <row r="30" spans="1:21" ht="42.75" customHeight="1" x14ac:dyDescent="0.25">
      <c r="A30" s="3" t="s">
        <v>26</v>
      </c>
      <c r="B30" s="136" t="s">
        <v>7</v>
      </c>
      <c r="C30" s="64" t="str">
        <f>VLOOKUP($A$12,'[1]6.2. отчет'!$D:$OP,403,0)</f>
        <v>п</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9" sqref="A1:XFD1048576"/>
    </sheetView>
  </sheetViews>
  <sheetFormatPr defaultRowHeight="15" x14ac:dyDescent="0.25"/>
  <cols>
    <col min="1" max="1" width="17.7109375" style="102" customWidth="1"/>
    <col min="2" max="2" width="30.140625" style="102" customWidth="1"/>
    <col min="3" max="3" width="12.28515625" style="102" customWidth="1"/>
    <col min="4" max="5" width="15" style="102" customWidth="1"/>
    <col min="6" max="7" width="13.28515625" style="102" customWidth="1"/>
    <col min="8" max="8" width="12.28515625" style="102" customWidth="1"/>
    <col min="9" max="9" width="17.85546875" style="102" customWidth="1"/>
    <col min="10" max="10" width="16.7109375" style="102" customWidth="1"/>
    <col min="11" max="11" width="24.5703125" style="102" customWidth="1"/>
    <col min="12" max="12" width="30.85546875" style="102" customWidth="1"/>
    <col min="13" max="13" width="27.140625" style="102" customWidth="1"/>
    <col min="14" max="14" width="32.42578125" style="102" customWidth="1"/>
    <col min="15" max="15" width="13.28515625" style="102" hidden="1" customWidth="1"/>
    <col min="16" max="16" width="8.7109375" style="102" hidden="1" customWidth="1"/>
    <col min="17" max="17" width="12.7109375" style="102" hidden="1" customWidth="1"/>
    <col min="18" max="18" width="0" style="102" hidden="1" customWidth="1"/>
    <col min="19" max="19" width="17" style="102" hidden="1" customWidth="1"/>
    <col min="20" max="21" width="12" style="102" hidden="1" customWidth="1"/>
    <col min="22" max="22" width="11" style="102" hidden="1" customWidth="1"/>
    <col min="23" max="25" width="17.7109375" style="102" hidden="1" customWidth="1"/>
    <col min="26" max="26" width="46.5703125" style="102" hidden="1" customWidth="1"/>
    <col min="27" max="28" width="12.28515625" style="102" customWidth="1"/>
    <col min="29" max="16384" width="9.140625" style="102"/>
  </cols>
  <sheetData>
    <row r="1" spans="1:28" ht="18.75" x14ac:dyDescent="0.25">
      <c r="Z1" s="47" t="s">
        <v>22</v>
      </c>
    </row>
    <row r="2" spans="1:28" ht="18.75" x14ac:dyDescent="0.3">
      <c r="Z2" s="48" t="s">
        <v>6</v>
      </c>
    </row>
    <row r="3" spans="1:28" ht="18.75" x14ac:dyDescent="0.3">
      <c r="Z3" s="48" t="s">
        <v>21</v>
      </c>
    </row>
    <row r="4" spans="1:28" ht="18.75" customHeight="1" x14ac:dyDescent="0.25">
      <c r="A4" s="193" t="str">
        <f>'1. паспорт местоположение'!$A$5</f>
        <v>Год раскрытия информации: 2019 год</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8.75" x14ac:dyDescent="0.25">
      <c r="A6" s="227" t="s">
        <v>5</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9"/>
      <c r="AB6" s="109"/>
    </row>
    <row r="7" spans="1:28" ht="18.75" x14ac:dyDescent="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9"/>
      <c r="AB7" s="109"/>
    </row>
    <row r="8" spans="1:28" ht="18.75" x14ac:dyDescent="0.25">
      <c r="A8" s="228" t="s">
        <v>286</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11"/>
      <c r="AB8" s="111"/>
    </row>
    <row r="9" spans="1:28" ht="15.75"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13"/>
      <c r="AB9" s="113"/>
    </row>
    <row r="10" spans="1:28" ht="18.75" x14ac:dyDescent="0.2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9"/>
      <c r="AB10" s="109"/>
    </row>
    <row r="11" spans="1:28" ht="18.75" x14ac:dyDescent="0.25">
      <c r="A11" s="228" t="str">
        <f>'1. паспорт местоположение'!$A$12</f>
        <v>H_Che82</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11"/>
      <c r="AB11" s="111"/>
    </row>
    <row r="12" spans="1:28" ht="15.75" x14ac:dyDescent="0.25">
      <c r="A12" s="194" t="s">
        <v>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13"/>
      <c r="AB12" s="113"/>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123"/>
      <c r="AB13" s="123"/>
    </row>
    <row r="14" spans="1:28" ht="44.25" customHeight="1" x14ac:dyDescent="0.25">
      <c r="A14" s="23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11"/>
      <c r="AB14" s="111"/>
    </row>
    <row r="15" spans="1:28" ht="15.75" x14ac:dyDescent="0.25">
      <c r="A15" s="194" t="s">
        <v>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13"/>
      <c r="AB15" s="113"/>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40"/>
      <c r="AB16" s="40"/>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40"/>
      <c r="AB17" s="40"/>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40"/>
      <c r="AB18" s="40"/>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40"/>
      <c r="AB19" s="40"/>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40"/>
      <c r="AB20" s="40"/>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40"/>
      <c r="AB21" s="40"/>
    </row>
    <row r="22" spans="1:28" x14ac:dyDescent="0.25">
      <c r="A22" s="237" t="s">
        <v>367</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41"/>
      <c r="AB22" s="41"/>
    </row>
    <row r="23" spans="1:28" ht="43.5" customHeight="1" x14ac:dyDescent="0.25">
      <c r="A23" s="231" t="s">
        <v>368</v>
      </c>
      <c r="B23" s="232"/>
      <c r="C23" s="232"/>
      <c r="D23" s="232"/>
      <c r="E23" s="232"/>
      <c r="F23" s="232"/>
      <c r="G23" s="232"/>
      <c r="H23" s="232"/>
      <c r="I23" s="232"/>
      <c r="J23" s="232"/>
      <c r="K23" s="232"/>
      <c r="L23" s="233"/>
      <c r="M23" s="234" t="s">
        <v>369</v>
      </c>
      <c r="N23" s="235"/>
      <c r="O23" s="235"/>
      <c r="P23" s="235"/>
      <c r="Q23" s="235"/>
      <c r="R23" s="235"/>
      <c r="S23" s="235"/>
      <c r="T23" s="235"/>
      <c r="U23" s="235"/>
      <c r="V23" s="235"/>
      <c r="W23" s="235"/>
      <c r="X23" s="235"/>
      <c r="Y23" s="235"/>
      <c r="Z23" s="236"/>
    </row>
    <row r="24" spans="1:28" ht="151.5" customHeight="1" x14ac:dyDescent="0.25">
      <c r="A24" s="124" t="s">
        <v>370</v>
      </c>
      <c r="B24" s="125" t="s">
        <v>371</v>
      </c>
      <c r="C24" s="124" t="s">
        <v>372</v>
      </c>
      <c r="D24" s="124" t="s">
        <v>373</v>
      </c>
      <c r="E24" s="124" t="s">
        <v>374</v>
      </c>
      <c r="F24" s="124" t="s">
        <v>375</v>
      </c>
      <c r="G24" s="124" t="s">
        <v>376</v>
      </c>
      <c r="H24" s="124" t="s">
        <v>377</v>
      </c>
      <c r="I24" s="124" t="s">
        <v>378</v>
      </c>
      <c r="J24" s="124" t="s">
        <v>379</v>
      </c>
      <c r="K24" s="125" t="s">
        <v>380</v>
      </c>
      <c r="L24" s="125" t="s">
        <v>381</v>
      </c>
      <c r="M24" s="126" t="s">
        <v>382</v>
      </c>
      <c r="N24" s="125" t="s">
        <v>383</v>
      </c>
      <c r="O24" s="124" t="s">
        <v>384</v>
      </c>
      <c r="P24" s="124" t="s">
        <v>385</v>
      </c>
      <c r="Q24" s="124" t="s">
        <v>386</v>
      </c>
      <c r="R24" s="124" t="s">
        <v>377</v>
      </c>
      <c r="S24" s="124" t="s">
        <v>387</v>
      </c>
      <c r="T24" s="124" t="s">
        <v>388</v>
      </c>
      <c r="U24" s="124" t="s">
        <v>389</v>
      </c>
      <c r="V24" s="124" t="s">
        <v>386</v>
      </c>
      <c r="W24" s="127" t="s">
        <v>390</v>
      </c>
      <c r="X24" s="127" t="s">
        <v>391</v>
      </c>
      <c r="Y24" s="127" t="s">
        <v>392</v>
      </c>
      <c r="Z24" s="42" t="s">
        <v>393</v>
      </c>
    </row>
    <row r="25" spans="1:28" ht="16.5" customHeight="1" x14ac:dyDescent="0.25">
      <c r="A25" s="124">
        <v>1</v>
      </c>
      <c r="B25" s="125">
        <v>2</v>
      </c>
      <c r="C25" s="124">
        <v>3</v>
      </c>
      <c r="D25" s="125">
        <v>4</v>
      </c>
      <c r="E25" s="124">
        <v>5</v>
      </c>
      <c r="F25" s="125">
        <v>6</v>
      </c>
      <c r="G25" s="124">
        <v>7</v>
      </c>
      <c r="H25" s="125">
        <v>8</v>
      </c>
      <c r="I25" s="124">
        <v>9</v>
      </c>
      <c r="J25" s="125">
        <v>10</v>
      </c>
      <c r="K25" s="124">
        <v>11</v>
      </c>
      <c r="L25" s="125">
        <v>12</v>
      </c>
      <c r="M25" s="124">
        <v>13</v>
      </c>
      <c r="N25" s="125">
        <v>14</v>
      </c>
      <c r="O25" s="124">
        <v>15</v>
      </c>
      <c r="P25" s="125">
        <v>16</v>
      </c>
      <c r="Q25" s="124">
        <v>17</v>
      </c>
      <c r="R25" s="125">
        <v>18</v>
      </c>
      <c r="S25" s="124">
        <v>19</v>
      </c>
      <c r="T25" s="125">
        <v>20</v>
      </c>
      <c r="U25" s="124">
        <v>21</v>
      </c>
      <c r="V25" s="125">
        <v>22</v>
      </c>
      <c r="W25" s="124">
        <v>23</v>
      </c>
      <c r="X25" s="125">
        <v>24</v>
      </c>
      <c r="Y25" s="124">
        <v>25</v>
      </c>
      <c r="Z25" s="125">
        <v>26</v>
      </c>
    </row>
    <row r="26" spans="1:28" ht="45.75" customHeight="1" x14ac:dyDescent="0.25">
      <c r="A26" s="23" t="s">
        <v>394</v>
      </c>
      <c r="B26" s="23"/>
      <c r="C26" s="43" t="s">
        <v>395</v>
      </c>
      <c r="D26" s="43" t="s">
        <v>396</v>
      </c>
      <c r="E26" s="43" t="s">
        <v>397</v>
      </c>
      <c r="F26" s="43" t="s">
        <v>398</v>
      </c>
      <c r="G26" s="43" t="s">
        <v>399</v>
      </c>
      <c r="H26" s="43" t="s">
        <v>377</v>
      </c>
      <c r="I26" s="43" t="s">
        <v>400</v>
      </c>
      <c r="J26" s="43" t="s">
        <v>401</v>
      </c>
      <c r="K26" s="128"/>
      <c r="L26" s="43" t="s">
        <v>402</v>
      </c>
      <c r="M26" s="44" t="s">
        <v>403</v>
      </c>
      <c r="N26" s="128" t="s">
        <v>339</v>
      </c>
      <c r="O26" s="128" t="s">
        <v>339</v>
      </c>
      <c r="P26" s="128" t="s">
        <v>339</v>
      </c>
      <c r="Q26" s="128" t="s">
        <v>339</v>
      </c>
      <c r="R26" s="128" t="s">
        <v>339</v>
      </c>
      <c r="S26" s="128" t="s">
        <v>339</v>
      </c>
      <c r="T26" s="128" t="s">
        <v>339</v>
      </c>
      <c r="U26" s="128" t="s">
        <v>339</v>
      </c>
      <c r="V26" s="128" t="s">
        <v>339</v>
      </c>
      <c r="W26" s="128" t="s">
        <v>339</v>
      </c>
      <c r="X26" s="128" t="s">
        <v>339</v>
      </c>
      <c r="Y26" s="128" t="s">
        <v>339</v>
      </c>
      <c r="Z26" s="129" t="s">
        <v>404</v>
      </c>
    </row>
    <row r="27" spans="1:28" x14ac:dyDescent="0.25">
      <c r="A27" s="128" t="s">
        <v>405</v>
      </c>
      <c r="B27" s="128" t="s">
        <v>406</v>
      </c>
      <c r="C27" s="128" t="s">
        <v>339</v>
      </c>
      <c r="D27" s="128" t="s">
        <v>339</v>
      </c>
      <c r="E27" s="128" t="s">
        <v>339</v>
      </c>
      <c r="F27" s="128" t="s">
        <v>339</v>
      </c>
      <c r="G27" s="128" t="s">
        <v>339</v>
      </c>
      <c r="H27" s="128" t="s">
        <v>339</v>
      </c>
      <c r="I27" s="128" t="s">
        <v>339</v>
      </c>
      <c r="J27" s="128" t="s">
        <v>339</v>
      </c>
      <c r="K27" s="43" t="s">
        <v>407</v>
      </c>
      <c r="L27" s="128" t="s">
        <v>339</v>
      </c>
      <c r="M27" s="128" t="s">
        <v>339</v>
      </c>
      <c r="N27" s="128" t="s">
        <v>339</v>
      </c>
      <c r="O27" s="128" t="s">
        <v>339</v>
      </c>
      <c r="P27" s="128" t="s">
        <v>339</v>
      </c>
      <c r="Q27" s="128" t="s">
        <v>339</v>
      </c>
      <c r="R27" s="128" t="s">
        <v>339</v>
      </c>
      <c r="S27" s="128" t="s">
        <v>339</v>
      </c>
      <c r="T27" s="128" t="s">
        <v>339</v>
      </c>
      <c r="U27" s="128" t="s">
        <v>339</v>
      </c>
      <c r="V27" s="128" t="s">
        <v>339</v>
      </c>
      <c r="W27" s="128" t="s">
        <v>339</v>
      </c>
      <c r="X27" s="128" t="s">
        <v>339</v>
      </c>
      <c r="Y27" s="128" t="s">
        <v>339</v>
      </c>
      <c r="Z27" s="128" t="s">
        <v>339</v>
      </c>
    </row>
    <row r="28" spans="1:28" x14ac:dyDescent="0.25">
      <c r="A28" s="128" t="s">
        <v>405</v>
      </c>
      <c r="B28" s="128" t="s">
        <v>408</v>
      </c>
      <c r="C28" s="128" t="s">
        <v>339</v>
      </c>
      <c r="D28" s="128" t="s">
        <v>339</v>
      </c>
      <c r="E28" s="128" t="s">
        <v>339</v>
      </c>
      <c r="F28" s="128" t="s">
        <v>339</v>
      </c>
      <c r="G28" s="128" t="s">
        <v>339</v>
      </c>
      <c r="H28" s="128" t="s">
        <v>339</v>
      </c>
      <c r="I28" s="128" t="s">
        <v>339</v>
      </c>
      <c r="J28" s="128" t="s">
        <v>339</v>
      </c>
      <c r="K28" s="43" t="s">
        <v>409</v>
      </c>
      <c r="L28" s="128" t="s">
        <v>339</v>
      </c>
      <c r="M28" s="128" t="s">
        <v>339</v>
      </c>
      <c r="N28" s="128" t="s">
        <v>339</v>
      </c>
      <c r="O28" s="128" t="s">
        <v>339</v>
      </c>
      <c r="P28" s="128" t="s">
        <v>339</v>
      </c>
      <c r="Q28" s="128" t="s">
        <v>339</v>
      </c>
      <c r="R28" s="128" t="s">
        <v>339</v>
      </c>
      <c r="S28" s="128" t="s">
        <v>339</v>
      </c>
      <c r="T28" s="128" t="s">
        <v>339</v>
      </c>
      <c r="U28" s="128" t="s">
        <v>339</v>
      </c>
      <c r="V28" s="128" t="s">
        <v>339</v>
      </c>
      <c r="W28" s="128" t="s">
        <v>339</v>
      </c>
      <c r="X28" s="128" t="s">
        <v>339</v>
      </c>
      <c r="Y28" s="128" t="s">
        <v>339</v>
      </c>
      <c r="Z28" s="128" t="s">
        <v>339</v>
      </c>
    </row>
    <row r="29" spans="1:28" x14ac:dyDescent="0.25">
      <c r="A29" s="128" t="s">
        <v>405</v>
      </c>
      <c r="B29" s="128" t="s">
        <v>410</v>
      </c>
      <c r="C29" s="128" t="s">
        <v>339</v>
      </c>
      <c r="D29" s="128" t="s">
        <v>339</v>
      </c>
      <c r="E29" s="128" t="s">
        <v>339</v>
      </c>
      <c r="F29" s="128" t="s">
        <v>339</v>
      </c>
      <c r="G29" s="128" t="s">
        <v>339</v>
      </c>
      <c r="H29" s="128" t="s">
        <v>339</v>
      </c>
      <c r="I29" s="128" t="s">
        <v>339</v>
      </c>
      <c r="J29" s="128" t="s">
        <v>339</v>
      </c>
      <c r="K29" s="43" t="s">
        <v>411</v>
      </c>
      <c r="L29" s="128" t="s">
        <v>339</v>
      </c>
      <c r="M29" s="128" t="s">
        <v>339</v>
      </c>
      <c r="N29" s="128" t="s">
        <v>339</v>
      </c>
      <c r="O29" s="128" t="s">
        <v>339</v>
      </c>
      <c r="P29" s="128" t="s">
        <v>339</v>
      </c>
      <c r="Q29" s="128" t="s">
        <v>339</v>
      </c>
      <c r="R29" s="128" t="s">
        <v>339</v>
      </c>
      <c r="S29" s="128" t="s">
        <v>339</v>
      </c>
      <c r="T29" s="128" t="s">
        <v>339</v>
      </c>
      <c r="U29" s="128" t="s">
        <v>339</v>
      </c>
      <c r="V29" s="128" t="s">
        <v>339</v>
      </c>
      <c r="W29" s="128" t="s">
        <v>339</v>
      </c>
      <c r="X29" s="128" t="s">
        <v>339</v>
      </c>
      <c r="Y29" s="128" t="s">
        <v>339</v>
      </c>
      <c r="Z29" s="128" t="s">
        <v>339</v>
      </c>
    </row>
    <row r="30" spans="1:28" x14ac:dyDescent="0.25">
      <c r="A30" s="128" t="s">
        <v>405</v>
      </c>
      <c r="B30" s="128" t="s">
        <v>412</v>
      </c>
      <c r="C30" s="128" t="s">
        <v>339</v>
      </c>
      <c r="D30" s="128" t="s">
        <v>339</v>
      </c>
      <c r="E30" s="128" t="s">
        <v>339</v>
      </c>
      <c r="F30" s="128" t="s">
        <v>339</v>
      </c>
      <c r="G30" s="128" t="s">
        <v>339</v>
      </c>
      <c r="H30" s="128" t="s">
        <v>339</v>
      </c>
      <c r="I30" s="128" t="s">
        <v>339</v>
      </c>
      <c r="J30" s="128" t="s">
        <v>339</v>
      </c>
      <c r="K30" s="43" t="s">
        <v>413</v>
      </c>
      <c r="L30" s="128" t="s">
        <v>339</v>
      </c>
      <c r="M30" s="128" t="s">
        <v>339</v>
      </c>
      <c r="N30" s="128" t="s">
        <v>339</v>
      </c>
      <c r="O30" s="128" t="s">
        <v>339</v>
      </c>
      <c r="P30" s="128" t="s">
        <v>339</v>
      </c>
      <c r="Q30" s="128" t="s">
        <v>339</v>
      </c>
      <c r="R30" s="128" t="s">
        <v>339</v>
      </c>
      <c r="S30" s="128" t="s">
        <v>339</v>
      </c>
      <c r="T30" s="128" t="s">
        <v>339</v>
      </c>
      <c r="U30" s="128" t="s">
        <v>339</v>
      </c>
      <c r="V30" s="128" t="s">
        <v>339</v>
      </c>
      <c r="W30" s="128" t="s">
        <v>339</v>
      </c>
      <c r="X30" s="128" t="s">
        <v>339</v>
      </c>
      <c r="Y30" s="128" t="s">
        <v>339</v>
      </c>
      <c r="Z30" s="128" t="s">
        <v>339</v>
      </c>
    </row>
    <row r="31" spans="1:28" x14ac:dyDescent="0.25">
      <c r="A31" s="128" t="s">
        <v>414</v>
      </c>
      <c r="B31" s="128" t="s">
        <v>414</v>
      </c>
      <c r="C31" s="128" t="s">
        <v>414</v>
      </c>
      <c r="D31" s="128" t="s">
        <v>414</v>
      </c>
      <c r="E31" s="128" t="s">
        <v>414</v>
      </c>
      <c r="F31" s="128" t="s">
        <v>414</v>
      </c>
      <c r="G31" s="128" t="s">
        <v>414</v>
      </c>
      <c r="H31" s="128" t="s">
        <v>414</v>
      </c>
      <c r="I31" s="128" t="s">
        <v>414</v>
      </c>
      <c r="J31" s="128" t="s">
        <v>414</v>
      </c>
      <c r="K31" s="128" t="s">
        <v>414</v>
      </c>
      <c r="L31" s="128" t="s">
        <v>339</v>
      </c>
      <c r="M31" s="128" t="s">
        <v>339</v>
      </c>
      <c r="N31" s="128" t="s">
        <v>339</v>
      </c>
      <c r="O31" s="128" t="s">
        <v>339</v>
      </c>
      <c r="P31" s="128" t="s">
        <v>339</v>
      </c>
      <c r="Q31" s="128" t="s">
        <v>339</v>
      </c>
      <c r="R31" s="128" t="s">
        <v>339</v>
      </c>
      <c r="S31" s="128" t="s">
        <v>339</v>
      </c>
      <c r="T31" s="128" t="s">
        <v>339</v>
      </c>
      <c r="U31" s="128" t="s">
        <v>339</v>
      </c>
      <c r="V31" s="128" t="s">
        <v>339</v>
      </c>
      <c r="W31" s="128" t="s">
        <v>339</v>
      </c>
      <c r="X31" s="128" t="s">
        <v>339</v>
      </c>
      <c r="Y31" s="128" t="s">
        <v>339</v>
      </c>
      <c r="Z31" s="128" t="s">
        <v>339</v>
      </c>
    </row>
    <row r="32" spans="1:28" ht="30" x14ac:dyDescent="0.25">
      <c r="A32" s="23" t="s">
        <v>394</v>
      </c>
      <c r="B32" s="23"/>
      <c r="C32" s="43" t="s">
        <v>415</v>
      </c>
      <c r="D32" s="43" t="s">
        <v>416</v>
      </c>
      <c r="E32" s="43" t="s">
        <v>417</v>
      </c>
      <c r="F32" s="43" t="s">
        <v>418</v>
      </c>
      <c r="G32" s="43" t="s">
        <v>419</v>
      </c>
      <c r="H32" s="43" t="s">
        <v>377</v>
      </c>
      <c r="I32" s="43" t="s">
        <v>420</v>
      </c>
      <c r="J32" s="43" t="s">
        <v>421</v>
      </c>
      <c r="K32" s="128"/>
      <c r="L32" s="128" t="s">
        <v>339</v>
      </c>
      <c r="M32" s="128" t="s">
        <v>339</v>
      </c>
      <c r="N32" s="128" t="s">
        <v>339</v>
      </c>
      <c r="O32" s="128" t="s">
        <v>339</v>
      </c>
      <c r="P32" s="128" t="s">
        <v>339</v>
      </c>
      <c r="Q32" s="128" t="s">
        <v>339</v>
      </c>
      <c r="R32" s="128" t="s">
        <v>339</v>
      </c>
      <c r="S32" s="128" t="s">
        <v>339</v>
      </c>
      <c r="T32" s="128" t="s">
        <v>339</v>
      </c>
      <c r="U32" s="128" t="s">
        <v>339</v>
      </c>
      <c r="V32" s="128" t="s">
        <v>339</v>
      </c>
      <c r="W32" s="128" t="s">
        <v>339</v>
      </c>
      <c r="X32" s="128" t="s">
        <v>339</v>
      </c>
      <c r="Y32" s="128" t="s">
        <v>339</v>
      </c>
      <c r="Z32" s="128" t="s">
        <v>339</v>
      </c>
    </row>
    <row r="33" spans="1:26" x14ac:dyDescent="0.25">
      <c r="A33" s="128" t="s">
        <v>414</v>
      </c>
      <c r="B33" s="128" t="s">
        <v>414</v>
      </c>
      <c r="C33" s="128" t="s">
        <v>414</v>
      </c>
      <c r="D33" s="128" t="s">
        <v>414</v>
      </c>
      <c r="E33" s="128" t="s">
        <v>414</v>
      </c>
      <c r="F33" s="128" t="s">
        <v>414</v>
      </c>
      <c r="G33" s="128" t="s">
        <v>414</v>
      </c>
      <c r="H33" s="128" t="s">
        <v>414</v>
      </c>
      <c r="I33" s="128" t="s">
        <v>414</v>
      </c>
      <c r="J33" s="128" t="s">
        <v>414</v>
      </c>
      <c r="K33" s="128" t="s">
        <v>414</v>
      </c>
      <c r="L33" s="128" t="s">
        <v>339</v>
      </c>
      <c r="M33" s="128" t="s">
        <v>339</v>
      </c>
      <c r="N33" s="128" t="s">
        <v>339</v>
      </c>
      <c r="O33" s="128" t="s">
        <v>339</v>
      </c>
      <c r="P33" s="128" t="s">
        <v>339</v>
      </c>
      <c r="Q33" s="128" t="s">
        <v>339</v>
      </c>
      <c r="R33" s="128" t="s">
        <v>339</v>
      </c>
      <c r="S33" s="128" t="s">
        <v>339</v>
      </c>
      <c r="T33" s="128" t="s">
        <v>339</v>
      </c>
      <c r="U33" s="128" t="s">
        <v>339</v>
      </c>
      <c r="V33" s="128" t="s">
        <v>339</v>
      </c>
      <c r="W33" s="128" t="s">
        <v>339</v>
      </c>
      <c r="X33" s="128" t="s">
        <v>339</v>
      </c>
      <c r="Y33" s="128" t="s">
        <v>339</v>
      </c>
      <c r="Z33" s="128" t="s">
        <v>339</v>
      </c>
    </row>
    <row r="37" spans="1:26" x14ac:dyDescent="0.25">
      <c r="A37" s="13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9" sqref="A1:XFD1048576"/>
    </sheetView>
  </sheetViews>
  <sheetFormatPr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8" s="46" customFormat="1" ht="18.75" customHeight="1" x14ac:dyDescent="0.2">
      <c r="A1" s="45"/>
      <c r="B1" s="45"/>
      <c r="O1" s="47" t="s">
        <v>22</v>
      </c>
    </row>
    <row r="2" spans="1:28" s="46" customFormat="1" ht="18.75" customHeight="1" x14ac:dyDescent="0.3">
      <c r="A2" s="45"/>
      <c r="B2" s="45"/>
      <c r="O2" s="48" t="s">
        <v>6</v>
      </c>
    </row>
    <row r="3" spans="1:28" s="46" customFormat="1" ht="18.75" x14ac:dyDescent="0.3">
      <c r="A3" s="49"/>
      <c r="B3" s="49"/>
      <c r="O3" s="48" t="s">
        <v>21</v>
      </c>
    </row>
    <row r="4" spans="1:28" s="46" customFormat="1" ht="18.75" x14ac:dyDescent="0.3">
      <c r="A4" s="49"/>
      <c r="B4" s="49"/>
      <c r="L4" s="48"/>
    </row>
    <row r="5" spans="1:28" s="46" customFormat="1" ht="15.75" x14ac:dyDescent="0.2">
      <c r="A5" s="193" t="str">
        <f>'1. паспорт местоположение'!$A$5</f>
        <v>Год раскрытия информации: 2019 год</v>
      </c>
      <c r="B5" s="193"/>
      <c r="C5" s="193"/>
      <c r="D5" s="193"/>
      <c r="E5" s="193"/>
      <c r="F5" s="193"/>
      <c r="G5" s="193"/>
      <c r="H5" s="193"/>
      <c r="I5" s="193"/>
      <c r="J5" s="193"/>
      <c r="K5" s="193"/>
      <c r="L5" s="193"/>
      <c r="M5" s="193"/>
      <c r="N5" s="193"/>
      <c r="O5" s="193"/>
      <c r="P5" s="34"/>
      <c r="Q5" s="34"/>
      <c r="R5" s="34"/>
      <c r="S5" s="34"/>
      <c r="T5" s="34"/>
      <c r="U5" s="34"/>
      <c r="V5" s="34"/>
      <c r="W5" s="34"/>
      <c r="X5" s="34"/>
      <c r="Y5" s="34"/>
      <c r="Z5" s="34"/>
      <c r="AA5" s="34"/>
      <c r="AB5" s="34"/>
    </row>
    <row r="6" spans="1:28" s="46" customFormat="1" ht="18.75" x14ac:dyDescent="0.3">
      <c r="A6" s="49"/>
      <c r="B6" s="49"/>
      <c r="L6" s="48"/>
    </row>
    <row r="7" spans="1:28" s="46" customFormat="1" ht="18.75" x14ac:dyDescent="0.2">
      <c r="A7" s="227" t="s">
        <v>5</v>
      </c>
      <c r="B7" s="227"/>
      <c r="C7" s="227"/>
      <c r="D7" s="227"/>
      <c r="E7" s="227"/>
      <c r="F7" s="227"/>
      <c r="G7" s="227"/>
      <c r="H7" s="227"/>
      <c r="I7" s="227"/>
      <c r="J7" s="227"/>
      <c r="K7" s="227"/>
      <c r="L7" s="227"/>
      <c r="M7" s="227"/>
      <c r="N7" s="227"/>
      <c r="O7" s="227"/>
      <c r="P7" s="109"/>
      <c r="Q7" s="109"/>
      <c r="R7" s="109"/>
      <c r="S7" s="109"/>
      <c r="T7" s="109"/>
      <c r="U7" s="109"/>
      <c r="V7" s="109"/>
      <c r="W7" s="109"/>
      <c r="X7" s="109"/>
      <c r="Y7" s="109"/>
      <c r="Z7" s="109"/>
    </row>
    <row r="8" spans="1:28" s="46" customFormat="1" ht="18.75" x14ac:dyDescent="0.2">
      <c r="A8" s="227"/>
      <c r="B8" s="227"/>
      <c r="C8" s="227"/>
      <c r="D8" s="227"/>
      <c r="E8" s="227"/>
      <c r="F8" s="227"/>
      <c r="G8" s="227"/>
      <c r="H8" s="227"/>
      <c r="I8" s="227"/>
      <c r="J8" s="227"/>
      <c r="K8" s="227"/>
      <c r="L8" s="227"/>
      <c r="M8" s="227"/>
      <c r="N8" s="227"/>
      <c r="O8" s="227"/>
      <c r="P8" s="109"/>
      <c r="Q8" s="109"/>
      <c r="R8" s="109"/>
      <c r="S8" s="109"/>
      <c r="T8" s="109"/>
      <c r="U8" s="109"/>
      <c r="V8" s="109"/>
      <c r="W8" s="109"/>
      <c r="X8" s="109"/>
      <c r="Y8" s="109"/>
      <c r="Z8" s="109"/>
    </row>
    <row r="9" spans="1:28" s="46" customFormat="1" ht="18.75" x14ac:dyDescent="0.2">
      <c r="A9" s="228" t="s">
        <v>286</v>
      </c>
      <c r="B9" s="228"/>
      <c r="C9" s="228"/>
      <c r="D9" s="228"/>
      <c r="E9" s="228"/>
      <c r="F9" s="228"/>
      <c r="G9" s="228"/>
      <c r="H9" s="228"/>
      <c r="I9" s="228"/>
      <c r="J9" s="228"/>
      <c r="K9" s="228"/>
      <c r="L9" s="228"/>
      <c r="M9" s="228"/>
      <c r="N9" s="228"/>
      <c r="O9" s="228"/>
      <c r="P9" s="109"/>
      <c r="Q9" s="109"/>
      <c r="R9" s="109"/>
      <c r="S9" s="109"/>
      <c r="T9" s="109"/>
      <c r="U9" s="109"/>
      <c r="V9" s="109"/>
      <c r="W9" s="109"/>
      <c r="X9" s="109"/>
      <c r="Y9" s="109"/>
      <c r="Z9" s="109"/>
    </row>
    <row r="10" spans="1:28" s="46" customFormat="1" ht="18.75" x14ac:dyDescent="0.2">
      <c r="A10" s="194" t="s">
        <v>4</v>
      </c>
      <c r="B10" s="194"/>
      <c r="C10" s="194"/>
      <c r="D10" s="194"/>
      <c r="E10" s="194"/>
      <c r="F10" s="194"/>
      <c r="G10" s="194"/>
      <c r="H10" s="194"/>
      <c r="I10" s="194"/>
      <c r="J10" s="194"/>
      <c r="K10" s="194"/>
      <c r="L10" s="194"/>
      <c r="M10" s="194"/>
      <c r="N10" s="194"/>
      <c r="O10" s="194"/>
      <c r="P10" s="109"/>
      <c r="Q10" s="109"/>
      <c r="R10" s="109"/>
      <c r="S10" s="109"/>
      <c r="T10" s="109"/>
      <c r="U10" s="109"/>
      <c r="V10" s="109"/>
      <c r="W10" s="109"/>
      <c r="X10" s="109"/>
      <c r="Y10" s="109"/>
      <c r="Z10" s="109"/>
    </row>
    <row r="11" spans="1:28" s="46" customFormat="1" ht="18.75" x14ac:dyDescent="0.2">
      <c r="A11" s="227"/>
      <c r="B11" s="227"/>
      <c r="C11" s="227"/>
      <c r="D11" s="227"/>
      <c r="E11" s="227"/>
      <c r="F11" s="227"/>
      <c r="G11" s="227"/>
      <c r="H11" s="227"/>
      <c r="I11" s="227"/>
      <c r="J11" s="227"/>
      <c r="K11" s="227"/>
      <c r="L11" s="227"/>
      <c r="M11" s="227"/>
      <c r="N11" s="227"/>
      <c r="O11" s="227"/>
      <c r="P11" s="109"/>
      <c r="Q11" s="109"/>
      <c r="R11" s="109"/>
      <c r="S11" s="109"/>
      <c r="T11" s="109"/>
      <c r="U11" s="109"/>
      <c r="V11" s="109"/>
      <c r="W11" s="109"/>
      <c r="X11" s="109"/>
      <c r="Y11" s="109"/>
      <c r="Z11" s="109"/>
    </row>
    <row r="12" spans="1:28" s="46" customFormat="1" ht="18.75" x14ac:dyDescent="0.2">
      <c r="A12" s="228" t="str">
        <f>'1. паспорт местоположение'!$A$12</f>
        <v>H_Che82</v>
      </c>
      <c r="B12" s="228"/>
      <c r="C12" s="228"/>
      <c r="D12" s="228"/>
      <c r="E12" s="228"/>
      <c r="F12" s="228"/>
      <c r="G12" s="228"/>
      <c r="H12" s="228"/>
      <c r="I12" s="228"/>
      <c r="J12" s="228"/>
      <c r="K12" s="228"/>
      <c r="L12" s="228"/>
      <c r="M12" s="228"/>
      <c r="N12" s="228"/>
      <c r="O12" s="228"/>
      <c r="P12" s="109"/>
      <c r="Q12" s="109"/>
      <c r="R12" s="109"/>
      <c r="S12" s="109"/>
      <c r="T12" s="109"/>
      <c r="U12" s="109"/>
      <c r="V12" s="109"/>
      <c r="W12" s="109"/>
      <c r="X12" s="109"/>
      <c r="Y12" s="109"/>
      <c r="Z12" s="109"/>
    </row>
    <row r="13" spans="1:28" s="46" customFormat="1" ht="18.75" x14ac:dyDescent="0.2">
      <c r="A13" s="194" t="s">
        <v>3</v>
      </c>
      <c r="B13" s="194"/>
      <c r="C13" s="194"/>
      <c r="D13" s="194"/>
      <c r="E13" s="194"/>
      <c r="F13" s="194"/>
      <c r="G13" s="194"/>
      <c r="H13" s="194"/>
      <c r="I13" s="194"/>
      <c r="J13" s="194"/>
      <c r="K13" s="194"/>
      <c r="L13" s="194"/>
      <c r="M13" s="194"/>
      <c r="N13" s="194"/>
      <c r="O13" s="194"/>
      <c r="P13" s="109"/>
      <c r="Q13" s="109"/>
      <c r="R13" s="109"/>
      <c r="S13" s="109"/>
      <c r="T13" s="109"/>
      <c r="U13" s="109"/>
      <c r="V13" s="109"/>
      <c r="W13" s="109"/>
      <c r="X13" s="109"/>
      <c r="Y13" s="109"/>
      <c r="Z13" s="109"/>
    </row>
    <row r="14" spans="1:28" s="110" customFormat="1" ht="15.75" customHeight="1" x14ac:dyDescent="0.2">
      <c r="A14" s="229"/>
      <c r="B14" s="229"/>
      <c r="C14" s="229"/>
      <c r="D14" s="229"/>
      <c r="E14" s="229"/>
      <c r="F14" s="229"/>
      <c r="G14" s="229"/>
      <c r="H14" s="229"/>
      <c r="I14" s="229"/>
      <c r="J14" s="229"/>
      <c r="K14" s="229"/>
      <c r="L14" s="229"/>
      <c r="M14" s="229"/>
      <c r="N14" s="229"/>
      <c r="O14" s="229"/>
      <c r="P14" s="52"/>
      <c r="Q14" s="52"/>
      <c r="R14" s="52"/>
      <c r="S14" s="52"/>
      <c r="T14" s="52"/>
      <c r="U14" s="52"/>
      <c r="V14" s="52"/>
      <c r="W14" s="52"/>
      <c r="X14" s="52"/>
      <c r="Y14" s="52"/>
      <c r="Z14" s="52"/>
    </row>
    <row r="15" spans="1:28" s="112" customFormat="1" ht="36.75" customHeight="1" x14ac:dyDescent="0.2">
      <c r="A15" s="23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230"/>
      <c r="C15" s="230"/>
      <c r="D15" s="230"/>
      <c r="E15" s="230"/>
      <c r="F15" s="230"/>
      <c r="G15" s="230"/>
      <c r="H15" s="230"/>
      <c r="I15" s="230"/>
      <c r="J15" s="230"/>
      <c r="K15" s="230"/>
      <c r="L15" s="230"/>
      <c r="M15" s="230"/>
      <c r="N15" s="230"/>
      <c r="O15" s="230"/>
      <c r="P15" s="111"/>
      <c r="Q15" s="111"/>
      <c r="R15" s="111"/>
      <c r="S15" s="111"/>
      <c r="T15" s="111"/>
      <c r="U15" s="111"/>
      <c r="V15" s="111"/>
      <c r="W15" s="111"/>
      <c r="X15" s="111"/>
      <c r="Y15" s="111"/>
      <c r="Z15" s="111"/>
    </row>
    <row r="16" spans="1:28" s="112" customFormat="1" ht="15" customHeight="1" x14ac:dyDescent="0.2">
      <c r="A16" s="194" t="s">
        <v>2</v>
      </c>
      <c r="B16" s="194"/>
      <c r="C16" s="194"/>
      <c r="D16" s="194"/>
      <c r="E16" s="194"/>
      <c r="F16" s="194"/>
      <c r="G16" s="194"/>
      <c r="H16" s="194"/>
      <c r="I16" s="194"/>
      <c r="J16" s="194"/>
      <c r="K16" s="194"/>
      <c r="L16" s="194"/>
      <c r="M16" s="194"/>
      <c r="N16" s="194"/>
      <c r="O16" s="194"/>
      <c r="P16" s="113"/>
      <c r="Q16" s="113"/>
      <c r="R16" s="113"/>
      <c r="S16" s="113"/>
      <c r="T16" s="113"/>
      <c r="U16" s="113"/>
      <c r="V16" s="113"/>
      <c r="W16" s="113"/>
      <c r="X16" s="113"/>
      <c r="Y16" s="113"/>
      <c r="Z16" s="113"/>
    </row>
    <row r="17" spans="1:26" s="112" customFormat="1" ht="15" customHeight="1" x14ac:dyDescent="0.2">
      <c r="A17" s="238"/>
      <c r="B17" s="238"/>
      <c r="C17" s="238"/>
      <c r="D17" s="238"/>
      <c r="E17" s="238"/>
      <c r="F17" s="238"/>
      <c r="G17" s="238"/>
      <c r="H17" s="238"/>
      <c r="I17" s="238"/>
      <c r="J17" s="238"/>
      <c r="K17" s="238"/>
      <c r="L17" s="238"/>
      <c r="M17" s="238"/>
      <c r="N17" s="238"/>
      <c r="O17" s="238"/>
      <c r="P17" s="53"/>
      <c r="Q17" s="53"/>
      <c r="R17" s="53"/>
      <c r="S17" s="53"/>
      <c r="T17" s="53"/>
      <c r="U17" s="53"/>
      <c r="V17" s="53"/>
      <c r="W17" s="53"/>
    </row>
    <row r="18" spans="1:26" s="112" customFormat="1" ht="91.5" customHeight="1" x14ac:dyDescent="0.2">
      <c r="A18" s="239" t="s">
        <v>422</v>
      </c>
      <c r="B18" s="239"/>
      <c r="C18" s="239"/>
      <c r="D18" s="239"/>
      <c r="E18" s="239"/>
      <c r="F18" s="239"/>
      <c r="G18" s="239"/>
      <c r="H18" s="239"/>
      <c r="I18" s="239"/>
      <c r="J18" s="239"/>
      <c r="K18" s="239"/>
      <c r="L18" s="239"/>
      <c r="M18" s="239"/>
      <c r="N18" s="239"/>
      <c r="O18" s="239"/>
      <c r="P18" s="114"/>
      <c r="Q18" s="114"/>
      <c r="R18" s="114"/>
      <c r="S18" s="114"/>
      <c r="T18" s="114"/>
      <c r="U18" s="114"/>
      <c r="V18" s="114"/>
      <c r="W18" s="114"/>
      <c r="X18" s="114"/>
      <c r="Y18" s="114"/>
      <c r="Z18" s="114"/>
    </row>
    <row r="19" spans="1:26" s="112" customFormat="1" ht="78" customHeight="1" x14ac:dyDescent="0.2">
      <c r="A19" s="240" t="s">
        <v>1</v>
      </c>
      <c r="B19" s="240" t="s">
        <v>423</v>
      </c>
      <c r="C19" s="240" t="s">
        <v>424</v>
      </c>
      <c r="D19" s="240" t="s">
        <v>425</v>
      </c>
      <c r="E19" s="241" t="s">
        <v>426</v>
      </c>
      <c r="F19" s="242"/>
      <c r="G19" s="242"/>
      <c r="H19" s="242"/>
      <c r="I19" s="243"/>
      <c r="J19" s="240" t="s">
        <v>427</v>
      </c>
      <c r="K19" s="240"/>
      <c r="L19" s="240"/>
      <c r="M19" s="240"/>
      <c r="N19" s="240"/>
      <c r="O19" s="240"/>
      <c r="P19" s="53"/>
      <c r="Q19" s="53"/>
      <c r="R19" s="53"/>
      <c r="S19" s="53"/>
      <c r="T19" s="53"/>
      <c r="U19" s="53"/>
      <c r="V19" s="53"/>
      <c r="W19" s="53"/>
    </row>
    <row r="20" spans="1:26" s="112" customFormat="1" ht="51" customHeight="1" x14ac:dyDescent="0.2">
      <c r="A20" s="240"/>
      <c r="B20" s="240"/>
      <c r="C20" s="240"/>
      <c r="D20" s="240"/>
      <c r="E20" s="115" t="s">
        <v>428</v>
      </c>
      <c r="F20" s="115" t="s">
        <v>429</v>
      </c>
      <c r="G20" s="115" t="s">
        <v>430</v>
      </c>
      <c r="H20" s="115" t="s">
        <v>431</v>
      </c>
      <c r="I20" s="115" t="s">
        <v>328</v>
      </c>
      <c r="J20" s="115" t="s">
        <v>432</v>
      </c>
      <c r="K20" s="115" t="s">
        <v>433</v>
      </c>
      <c r="L20" s="116" t="s">
        <v>434</v>
      </c>
      <c r="M20" s="117" t="s">
        <v>435</v>
      </c>
      <c r="N20" s="117" t="s">
        <v>436</v>
      </c>
      <c r="O20" s="117" t="s">
        <v>437</v>
      </c>
      <c r="P20" s="52"/>
      <c r="Q20" s="52"/>
      <c r="R20" s="52"/>
      <c r="S20" s="52"/>
      <c r="T20" s="52"/>
      <c r="U20" s="52"/>
      <c r="V20" s="52"/>
      <c r="W20" s="52"/>
      <c r="X20" s="118"/>
      <c r="Y20" s="118"/>
      <c r="Z20" s="118"/>
    </row>
    <row r="21" spans="1:26" s="112"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52"/>
      <c r="Q21" s="52"/>
      <c r="R21" s="52"/>
      <c r="S21" s="52"/>
      <c r="T21" s="52"/>
      <c r="U21" s="52"/>
      <c r="V21" s="52"/>
      <c r="W21" s="52"/>
      <c r="X21" s="118"/>
      <c r="Y21" s="118"/>
      <c r="Z21" s="118"/>
    </row>
    <row r="22" spans="1:26" s="112" customFormat="1" ht="33" customHeight="1" x14ac:dyDescent="0.2">
      <c r="A22" s="62" t="s">
        <v>339</v>
      </c>
      <c r="B22" s="62" t="s">
        <v>339</v>
      </c>
      <c r="C22" s="62" t="s">
        <v>339</v>
      </c>
      <c r="D22" s="62" t="s">
        <v>339</v>
      </c>
      <c r="E22" s="62" t="s">
        <v>339</v>
      </c>
      <c r="F22" s="62" t="s">
        <v>339</v>
      </c>
      <c r="G22" s="62" t="s">
        <v>339</v>
      </c>
      <c r="H22" s="62" t="s">
        <v>339</v>
      </c>
      <c r="I22" s="62" t="s">
        <v>339</v>
      </c>
      <c r="J22" s="62" t="s">
        <v>339</v>
      </c>
      <c r="K22" s="62" t="s">
        <v>339</v>
      </c>
      <c r="L22" s="62" t="s">
        <v>339</v>
      </c>
      <c r="M22" s="62" t="s">
        <v>339</v>
      </c>
      <c r="N22" s="62" t="s">
        <v>339</v>
      </c>
      <c r="O22" s="62" t="s">
        <v>339</v>
      </c>
      <c r="P22" s="52"/>
      <c r="Q22" s="52"/>
      <c r="R22" s="52"/>
      <c r="S22" s="52"/>
      <c r="T22" s="52"/>
      <c r="U22" s="52"/>
      <c r="V22" s="118"/>
      <c r="W22" s="118"/>
      <c r="X22" s="118"/>
      <c r="Y22" s="118"/>
      <c r="Z22" s="118"/>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C29" sqref="C29"/>
    </sheetView>
  </sheetViews>
  <sheetFormatPr defaultRowHeight="15" x14ac:dyDescent="0.25"/>
  <cols>
    <col min="1" max="1" width="9.140625" style="102"/>
    <col min="2" max="2" width="28" style="102" customWidth="1"/>
    <col min="3" max="3" width="24.140625" style="102" customWidth="1"/>
    <col min="4" max="4" width="20" style="102" customWidth="1"/>
    <col min="5" max="5" width="15.85546875" style="102" customWidth="1"/>
    <col min="6" max="6" width="9.140625" style="102" customWidth="1"/>
    <col min="7" max="16384" width="9.140625" style="102"/>
  </cols>
  <sheetData>
    <row r="1" spans="1:6" ht="18.75" x14ac:dyDescent="0.25">
      <c r="A1" s="45"/>
      <c r="B1" s="46"/>
      <c r="C1" s="46"/>
      <c r="D1" s="46"/>
      <c r="E1" s="46"/>
      <c r="F1" s="47" t="s">
        <v>22</v>
      </c>
    </row>
    <row r="2" spans="1:6" ht="18.75" x14ac:dyDescent="0.3">
      <c r="A2" s="45"/>
      <c r="B2" s="46"/>
      <c r="C2" s="46"/>
      <c r="D2" s="46"/>
      <c r="E2" s="46"/>
      <c r="F2" s="48" t="s">
        <v>6</v>
      </c>
    </row>
    <row r="3" spans="1:6" ht="18.75" x14ac:dyDescent="0.3">
      <c r="A3" s="49"/>
      <c r="B3" s="46"/>
      <c r="C3" s="46"/>
      <c r="D3" s="46"/>
      <c r="E3" s="46"/>
      <c r="F3" s="48" t="s">
        <v>21</v>
      </c>
    </row>
    <row r="4" spans="1:6" ht="15.75" x14ac:dyDescent="0.25">
      <c r="A4" s="49"/>
      <c r="B4" s="46"/>
      <c r="C4" s="46"/>
      <c r="D4" s="46"/>
      <c r="E4" s="46"/>
      <c r="F4" s="46"/>
    </row>
    <row r="5" spans="1:6" ht="15.75" x14ac:dyDescent="0.25">
      <c r="A5" s="193" t="str">
        <f>'1. паспорт местоположение'!$A$5</f>
        <v>Год раскрытия информации: 2019 год</v>
      </c>
      <c r="B5" s="193"/>
      <c r="C5" s="193"/>
      <c r="D5" s="193"/>
      <c r="E5" s="193"/>
      <c r="F5" s="193"/>
    </row>
    <row r="6" spans="1:6" ht="15.75" x14ac:dyDescent="0.25">
      <c r="A6" s="50"/>
      <c r="B6" s="51"/>
      <c r="C6" s="51"/>
      <c r="D6" s="51"/>
      <c r="E6" s="51"/>
      <c r="F6" s="51"/>
    </row>
    <row r="7" spans="1:6" ht="18.75" x14ac:dyDescent="0.25">
      <c r="A7" s="227" t="s">
        <v>5</v>
      </c>
      <c r="B7" s="227"/>
      <c r="C7" s="227"/>
      <c r="D7" s="227"/>
      <c r="E7" s="227"/>
      <c r="F7" s="227"/>
    </row>
    <row r="8" spans="1:6" ht="18.75" x14ac:dyDescent="0.25">
      <c r="A8" s="72"/>
      <c r="B8" s="72"/>
      <c r="C8" s="72"/>
      <c r="D8" s="72"/>
      <c r="E8" s="72"/>
      <c r="F8" s="72"/>
    </row>
    <row r="9" spans="1:6" ht="15.75" x14ac:dyDescent="0.25">
      <c r="A9" s="196" t="s">
        <v>286</v>
      </c>
      <c r="B9" s="196"/>
      <c r="C9" s="196"/>
      <c r="D9" s="196"/>
      <c r="E9" s="196"/>
      <c r="F9" s="196"/>
    </row>
    <row r="10" spans="1:6" ht="15.75" x14ac:dyDescent="0.25">
      <c r="A10" s="194" t="s">
        <v>4</v>
      </c>
      <c r="B10" s="194"/>
      <c r="C10" s="194"/>
      <c r="D10" s="194"/>
      <c r="E10" s="194"/>
      <c r="F10" s="194"/>
    </row>
    <row r="11" spans="1:6" ht="18.75" x14ac:dyDescent="0.25">
      <c r="A11" s="72"/>
      <c r="B11" s="72"/>
      <c r="C11" s="72"/>
      <c r="D11" s="72"/>
      <c r="E11" s="72"/>
      <c r="F11" s="72"/>
    </row>
    <row r="12" spans="1:6" ht="15.75" x14ac:dyDescent="0.25">
      <c r="A12" s="196" t="str">
        <f>'1. паспорт местоположение'!$A$12</f>
        <v>H_Che82</v>
      </c>
      <c r="B12" s="196"/>
      <c r="C12" s="196"/>
      <c r="D12" s="196"/>
      <c r="E12" s="196"/>
      <c r="F12" s="196"/>
    </row>
    <row r="13" spans="1:6" ht="15.75" x14ac:dyDescent="0.25">
      <c r="A13" s="194" t="s">
        <v>3</v>
      </c>
      <c r="B13" s="194"/>
      <c r="C13" s="194"/>
      <c r="D13" s="194"/>
      <c r="E13" s="194"/>
      <c r="F13" s="194"/>
    </row>
    <row r="14" spans="1:6" ht="18.75" x14ac:dyDescent="0.25">
      <c r="A14" s="52"/>
      <c r="B14" s="52"/>
      <c r="C14" s="52"/>
      <c r="D14" s="52"/>
      <c r="E14" s="52"/>
      <c r="F14" s="52"/>
    </row>
    <row r="15" spans="1:6" ht="53.25" customHeight="1" x14ac:dyDescent="0.25">
      <c r="A15" s="195"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195"/>
      <c r="C15" s="195"/>
      <c r="D15" s="195"/>
      <c r="E15" s="195"/>
      <c r="F15" s="195"/>
    </row>
    <row r="16" spans="1:6" ht="15.75" x14ac:dyDescent="0.25">
      <c r="A16" s="194" t="s">
        <v>2</v>
      </c>
      <c r="B16" s="194"/>
      <c r="C16" s="194"/>
      <c r="D16" s="194"/>
      <c r="E16" s="194"/>
      <c r="F16" s="194"/>
    </row>
    <row r="17" spans="1:6" ht="18.75" x14ac:dyDescent="0.25">
      <c r="A17" s="53"/>
      <c r="B17" s="53"/>
      <c r="C17" s="53"/>
      <c r="D17" s="53"/>
      <c r="E17" s="53"/>
      <c r="F17" s="53"/>
    </row>
    <row r="18" spans="1:6" ht="18.75" x14ac:dyDescent="0.25">
      <c r="A18" s="228" t="s">
        <v>438</v>
      </c>
      <c r="B18" s="228"/>
      <c r="C18" s="228"/>
      <c r="D18" s="228"/>
      <c r="E18" s="228"/>
      <c r="F18" s="228"/>
    </row>
    <row r="19" spans="1:6" x14ac:dyDescent="0.25">
      <c r="A19" s="54"/>
      <c r="B19" s="54"/>
      <c r="C19" s="54"/>
      <c r="D19" s="54"/>
      <c r="E19" s="54"/>
      <c r="F19" s="54"/>
    </row>
    <row r="20" spans="1:6" ht="15.75" thickBot="1" x14ac:dyDescent="0.3">
      <c r="A20" s="54"/>
      <c r="B20" s="54"/>
      <c r="C20" s="54"/>
      <c r="D20" s="54"/>
      <c r="E20" s="54"/>
      <c r="F20" s="54"/>
    </row>
    <row r="21" spans="1:6" ht="15.75" x14ac:dyDescent="0.25">
      <c r="A21" s="54"/>
      <c r="B21" s="244" t="s">
        <v>439</v>
      </c>
      <c r="C21" s="245"/>
      <c r="D21" s="245"/>
      <c r="E21" s="246"/>
      <c r="F21" s="54"/>
    </row>
    <row r="22" spans="1:6" ht="15.75" x14ac:dyDescent="0.25">
      <c r="A22" s="54"/>
      <c r="B22" s="247" t="s">
        <v>440</v>
      </c>
      <c r="C22" s="248"/>
      <c r="D22" s="248" t="s">
        <v>441</v>
      </c>
      <c r="E22" s="249"/>
      <c r="F22" s="54"/>
    </row>
    <row r="23" spans="1:6" ht="63" x14ac:dyDescent="0.25">
      <c r="A23" s="54"/>
      <c r="B23" s="103" t="s">
        <v>442</v>
      </c>
      <c r="C23" s="104" t="s">
        <v>443</v>
      </c>
      <c r="D23" s="104" t="s">
        <v>444</v>
      </c>
      <c r="E23" s="105" t="s">
        <v>445</v>
      </c>
      <c r="F23" s="54"/>
    </row>
    <row r="24" spans="1:6" ht="15.75" x14ac:dyDescent="0.25">
      <c r="A24" s="54"/>
      <c r="B24" s="106">
        <v>-3.5729729036330395</v>
      </c>
      <c r="C24" s="107">
        <v>0.17816195027926751</v>
      </c>
      <c r="D24" s="108">
        <v>8</v>
      </c>
      <c r="E24" s="108" t="s">
        <v>475</v>
      </c>
      <c r="F24" s="54"/>
    </row>
    <row r="25" spans="1:6" x14ac:dyDescent="0.25">
      <c r="A25" s="54"/>
      <c r="B25" s="54"/>
      <c r="C25" s="54"/>
      <c r="D25" s="54"/>
      <c r="E25" s="54"/>
      <c r="F25" s="54"/>
    </row>
    <row r="26" spans="1:6" x14ac:dyDescent="0.25">
      <c r="A26" s="54"/>
      <c r="B26" s="54"/>
      <c r="C26" s="54"/>
      <c r="D26" s="54"/>
      <c r="E26" s="54"/>
      <c r="F26" s="54"/>
    </row>
    <row r="27" spans="1:6" x14ac:dyDescent="0.25">
      <c r="A27" s="54"/>
      <c r="B27" s="54"/>
      <c r="C27" s="54"/>
      <c r="D27" s="54"/>
      <c r="E27" s="54"/>
      <c r="F27" s="54"/>
    </row>
    <row r="28" spans="1:6" x14ac:dyDescent="0.25">
      <c r="A28" s="54"/>
      <c r="B28" s="54"/>
      <c r="C28" s="54"/>
      <c r="D28" s="54"/>
      <c r="E28" s="54"/>
      <c r="F28" s="54"/>
    </row>
    <row r="29" spans="1:6" x14ac:dyDescent="0.25">
      <c r="A29" s="54"/>
      <c r="B29" s="54"/>
      <c r="C29" s="54"/>
      <c r="D29" s="54"/>
      <c r="E29" s="54"/>
      <c r="F29" s="54"/>
    </row>
    <row r="30" spans="1:6" x14ac:dyDescent="0.25">
      <c r="A30" s="54"/>
      <c r="B30" s="54"/>
      <c r="C30" s="54"/>
      <c r="D30" s="54"/>
      <c r="E30" s="54"/>
      <c r="F30" s="54"/>
    </row>
    <row r="31" spans="1:6" x14ac:dyDescent="0.25">
      <c r="A31" s="54"/>
      <c r="B31" s="54"/>
      <c r="C31" s="54"/>
      <c r="D31" s="54"/>
      <c r="E31" s="54"/>
      <c r="F31" s="54"/>
    </row>
  </sheetData>
  <mergeCells count="12">
    <mergeCell ref="A15:F15"/>
    <mergeCell ref="A16:F16"/>
    <mergeCell ref="A18:F18"/>
    <mergeCell ref="B21:E21"/>
    <mergeCell ref="B22:C22"/>
    <mergeCell ref="D22:E22"/>
    <mergeCell ref="A13:F13"/>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70" zoomScaleNormal="100" zoomScaleSheetLayoutView="70" workbookViewId="0">
      <selection activeCell="I30" sqref="I30"/>
    </sheetView>
  </sheetViews>
  <sheetFormatPr defaultColWidth="0" defaultRowHeight="15.75" x14ac:dyDescent="0.25"/>
  <cols>
    <col min="1" max="1" width="9.140625" style="9" customWidth="1"/>
    <col min="2" max="2" width="37.7109375" style="9" customWidth="1"/>
    <col min="3" max="5" width="14.85546875" style="9" customWidth="1"/>
    <col min="6" max="6" width="15.5703125" style="9" customWidth="1"/>
    <col min="7" max="8" width="18.28515625" style="9" customWidth="1"/>
    <col min="9" max="9" width="64.85546875" style="9" customWidth="1"/>
    <col min="10" max="10" width="32.28515625" style="9" customWidth="1"/>
    <col min="11"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47" t="s">
        <v>22</v>
      </c>
    </row>
    <row r="2" spans="1:42" ht="18.75" x14ac:dyDescent="0.3">
      <c r="J2" s="48" t="s">
        <v>6</v>
      </c>
    </row>
    <row r="3" spans="1:42" ht="18.75" x14ac:dyDescent="0.3">
      <c r="J3" s="48" t="s">
        <v>21</v>
      </c>
    </row>
    <row r="4" spans="1:42" ht="18.75" x14ac:dyDescent="0.3">
      <c r="I4" s="48"/>
    </row>
    <row r="5" spans="1:42" x14ac:dyDescent="0.25">
      <c r="A5" s="193" t="str">
        <f>'1. паспорт местоположение'!$A$5</f>
        <v>Год раскрытия информации: 2019 год</v>
      </c>
      <c r="B5" s="193"/>
      <c r="C5" s="193"/>
      <c r="D5" s="193"/>
      <c r="E5" s="193"/>
      <c r="F5" s="193"/>
      <c r="G5" s="193"/>
      <c r="H5" s="193"/>
      <c r="I5" s="193"/>
      <c r="J5" s="193"/>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48"/>
    </row>
    <row r="7" spans="1:42" ht="18.75" x14ac:dyDescent="0.25">
      <c r="A7" s="197" t="s">
        <v>5</v>
      </c>
      <c r="B7" s="197"/>
      <c r="C7" s="197"/>
      <c r="D7" s="197"/>
      <c r="E7" s="197"/>
      <c r="F7" s="197"/>
      <c r="G7" s="197"/>
      <c r="H7" s="197"/>
      <c r="I7" s="197"/>
      <c r="J7" s="197"/>
    </row>
    <row r="8" spans="1:42" ht="18.75" x14ac:dyDescent="0.25">
      <c r="A8" s="197"/>
      <c r="B8" s="197"/>
      <c r="C8" s="197"/>
      <c r="D8" s="197"/>
      <c r="E8" s="197"/>
      <c r="F8" s="197"/>
      <c r="G8" s="197"/>
      <c r="H8" s="197"/>
      <c r="I8" s="197"/>
      <c r="J8" s="197"/>
    </row>
    <row r="9" spans="1:42" x14ac:dyDescent="0.25">
      <c r="A9" s="198" t="s">
        <v>286</v>
      </c>
      <c r="B9" s="198"/>
      <c r="C9" s="198"/>
      <c r="D9" s="198"/>
      <c r="E9" s="198"/>
      <c r="F9" s="198"/>
      <c r="G9" s="198"/>
      <c r="H9" s="198"/>
      <c r="I9" s="198"/>
      <c r="J9" s="198"/>
    </row>
    <row r="10" spans="1:42" x14ac:dyDescent="0.25">
      <c r="A10" s="199" t="s">
        <v>4</v>
      </c>
      <c r="B10" s="199"/>
      <c r="C10" s="199"/>
      <c r="D10" s="199"/>
      <c r="E10" s="199"/>
      <c r="F10" s="199"/>
      <c r="G10" s="199"/>
      <c r="H10" s="199"/>
      <c r="I10" s="199"/>
      <c r="J10" s="199"/>
    </row>
    <row r="11" spans="1:42" ht="18.75" x14ac:dyDescent="0.25">
      <c r="A11" s="197"/>
      <c r="B11" s="197"/>
      <c r="C11" s="197"/>
      <c r="D11" s="197"/>
      <c r="E11" s="197"/>
      <c r="F11" s="197"/>
      <c r="G11" s="197"/>
      <c r="H11" s="197"/>
      <c r="I11" s="197"/>
      <c r="J11" s="197"/>
    </row>
    <row r="12" spans="1:42" x14ac:dyDescent="0.25">
      <c r="A12" s="198" t="str">
        <f>'1. паспорт местоположение'!$A$12</f>
        <v>H_Che82</v>
      </c>
      <c r="B12" s="198"/>
      <c r="C12" s="198"/>
      <c r="D12" s="198"/>
      <c r="E12" s="198"/>
      <c r="F12" s="198"/>
      <c r="G12" s="198"/>
      <c r="H12" s="198"/>
      <c r="I12" s="198"/>
      <c r="J12" s="198"/>
    </row>
    <row r="13" spans="1:42" x14ac:dyDescent="0.25">
      <c r="A13" s="199" t="s">
        <v>3</v>
      </c>
      <c r="B13" s="199"/>
      <c r="C13" s="199"/>
      <c r="D13" s="199"/>
      <c r="E13" s="199"/>
      <c r="F13" s="199"/>
      <c r="G13" s="199"/>
      <c r="H13" s="199"/>
      <c r="I13" s="199"/>
      <c r="J13" s="199"/>
    </row>
    <row r="14" spans="1:42" ht="18.75" x14ac:dyDescent="0.25">
      <c r="A14" s="209"/>
      <c r="B14" s="209"/>
      <c r="C14" s="209"/>
      <c r="D14" s="209"/>
      <c r="E14" s="209"/>
      <c r="F14" s="209"/>
      <c r="G14" s="209"/>
      <c r="H14" s="209"/>
      <c r="I14" s="209"/>
      <c r="J14" s="209"/>
    </row>
    <row r="15" spans="1:42" ht="33" customHeight="1" x14ac:dyDescent="0.25">
      <c r="A15" s="200" t="str">
        <f>'1. паспорт местоположение'!$A$15</f>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
      <c r="B15" s="200"/>
      <c r="C15" s="200"/>
      <c r="D15" s="200"/>
      <c r="E15" s="200"/>
      <c r="F15" s="200"/>
      <c r="G15" s="200"/>
      <c r="H15" s="200"/>
      <c r="I15" s="200"/>
      <c r="J15" s="200"/>
    </row>
    <row r="16" spans="1:42" x14ac:dyDescent="0.25">
      <c r="A16" s="199" t="s">
        <v>2</v>
      </c>
      <c r="B16" s="199"/>
      <c r="C16" s="199"/>
      <c r="D16" s="199"/>
      <c r="E16" s="199"/>
      <c r="F16" s="199"/>
      <c r="G16" s="199"/>
      <c r="H16" s="199"/>
      <c r="I16" s="199"/>
      <c r="J16" s="199"/>
    </row>
    <row r="17" spans="1:10" ht="15.75" customHeight="1" x14ac:dyDescent="0.25">
      <c r="J17" s="74"/>
    </row>
    <row r="18" spans="1:10" x14ac:dyDescent="0.25">
      <c r="I18" s="7"/>
    </row>
    <row r="19" spans="1:10" ht="15.75" customHeight="1" x14ac:dyDescent="0.25">
      <c r="A19" s="257" t="s">
        <v>266</v>
      </c>
      <c r="B19" s="257"/>
      <c r="C19" s="257"/>
      <c r="D19" s="257"/>
      <c r="E19" s="257"/>
      <c r="F19" s="257"/>
      <c r="G19" s="257"/>
      <c r="H19" s="257"/>
      <c r="I19" s="257"/>
      <c r="J19" s="257"/>
    </row>
    <row r="20" spans="1:10" x14ac:dyDescent="0.25">
      <c r="A20" s="77"/>
      <c r="B20" s="77"/>
      <c r="C20" s="10"/>
      <c r="D20" s="10"/>
      <c r="E20" s="10"/>
      <c r="F20" s="10"/>
      <c r="G20" s="10"/>
      <c r="H20" s="10"/>
      <c r="I20" s="10"/>
      <c r="J20" s="10"/>
    </row>
    <row r="21" spans="1:10" ht="28.5" customHeight="1" x14ac:dyDescent="0.25">
      <c r="A21" s="250" t="s">
        <v>146</v>
      </c>
      <c r="B21" s="250" t="s">
        <v>145</v>
      </c>
      <c r="C21" s="258" t="s">
        <v>214</v>
      </c>
      <c r="D21" s="258"/>
      <c r="E21" s="258"/>
      <c r="F21" s="258"/>
      <c r="G21" s="259" t="s">
        <v>144</v>
      </c>
      <c r="H21" s="254" t="s">
        <v>216</v>
      </c>
      <c r="I21" s="250" t="s">
        <v>143</v>
      </c>
      <c r="J21" s="260" t="s">
        <v>215</v>
      </c>
    </row>
    <row r="22" spans="1:10" ht="58.5" customHeight="1" x14ac:dyDescent="0.25">
      <c r="A22" s="250"/>
      <c r="B22" s="250"/>
      <c r="C22" s="253" t="s">
        <v>0</v>
      </c>
      <c r="D22" s="253"/>
      <c r="E22" s="251" t="s">
        <v>329</v>
      </c>
      <c r="F22" s="252"/>
      <c r="G22" s="259"/>
      <c r="H22" s="255"/>
      <c r="I22" s="250"/>
      <c r="J22" s="260"/>
    </row>
    <row r="23" spans="1:10" ht="31.5" x14ac:dyDescent="0.25">
      <c r="A23" s="250"/>
      <c r="B23" s="250"/>
      <c r="C23" s="22" t="s">
        <v>142</v>
      </c>
      <c r="D23" s="22" t="s">
        <v>141</v>
      </c>
      <c r="E23" s="22" t="s">
        <v>142</v>
      </c>
      <c r="F23" s="22" t="s">
        <v>141</v>
      </c>
      <c r="G23" s="259"/>
      <c r="H23" s="256"/>
      <c r="I23" s="250"/>
      <c r="J23" s="260"/>
    </row>
    <row r="24" spans="1:10" x14ac:dyDescent="0.25">
      <c r="A24" s="73">
        <v>1</v>
      </c>
      <c r="B24" s="73">
        <v>2</v>
      </c>
      <c r="C24" s="22">
        <v>3</v>
      </c>
      <c r="D24" s="22">
        <v>4</v>
      </c>
      <c r="E24" s="22">
        <v>7</v>
      </c>
      <c r="F24" s="22">
        <v>8</v>
      </c>
      <c r="G24" s="22">
        <v>9</v>
      </c>
      <c r="H24" s="22">
        <v>10</v>
      </c>
      <c r="I24" s="22">
        <v>11</v>
      </c>
      <c r="J24" s="22">
        <v>12</v>
      </c>
    </row>
    <row r="25" spans="1:10" ht="31.5" x14ac:dyDescent="0.25">
      <c r="A25" s="22">
        <v>1</v>
      </c>
      <c r="B25" s="95" t="s">
        <v>140</v>
      </c>
      <c r="C25" s="95"/>
      <c r="D25" s="21"/>
      <c r="E25" s="21"/>
      <c r="F25" s="21"/>
      <c r="G25" s="21"/>
      <c r="H25" s="21"/>
      <c r="I25" s="20"/>
      <c r="J25" s="23"/>
    </row>
    <row r="26" spans="1:10" s="57" customFormat="1" ht="46.5" customHeight="1" x14ac:dyDescent="0.25">
      <c r="A26" s="75" t="s">
        <v>139</v>
      </c>
      <c r="B26" s="4" t="s">
        <v>218</v>
      </c>
      <c r="C26" s="100">
        <v>42608</v>
      </c>
      <c r="D26" s="100">
        <v>42608</v>
      </c>
      <c r="E26" s="100">
        <v>42608</v>
      </c>
      <c r="F26" s="100">
        <v>42608</v>
      </c>
      <c r="G26" s="60">
        <v>1</v>
      </c>
      <c r="H26" s="60">
        <v>1</v>
      </c>
      <c r="I26" s="4"/>
      <c r="J26" s="4"/>
    </row>
    <row r="27" spans="1:10" s="58" customFormat="1" ht="39" customHeight="1" x14ac:dyDescent="0.25">
      <c r="A27" s="75" t="s">
        <v>138</v>
      </c>
      <c r="B27" s="4" t="s">
        <v>220</v>
      </c>
      <c r="C27" s="96" t="s">
        <v>287</v>
      </c>
      <c r="D27" s="96" t="s">
        <v>287</v>
      </c>
      <c r="E27" s="96" t="s">
        <v>287</v>
      </c>
      <c r="F27" s="96" t="s">
        <v>287</v>
      </c>
      <c r="G27" s="60" t="s">
        <v>339</v>
      </c>
      <c r="H27" s="60" t="s">
        <v>339</v>
      </c>
      <c r="I27" s="4"/>
      <c r="J27" s="4"/>
    </row>
    <row r="28" spans="1:10" s="58" customFormat="1" ht="70.5" customHeight="1" x14ac:dyDescent="0.25">
      <c r="A28" s="75" t="s">
        <v>219</v>
      </c>
      <c r="B28" s="4" t="s">
        <v>224</v>
      </c>
      <c r="C28" s="96" t="s">
        <v>287</v>
      </c>
      <c r="D28" s="96" t="s">
        <v>287</v>
      </c>
      <c r="E28" s="96" t="s">
        <v>287</v>
      </c>
      <c r="F28" s="96" t="s">
        <v>287</v>
      </c>
      <c r="G28" s="60" t="s">
        <v>339</v>
      </c>
      <c r="H28" s="60" t="s">
        <v>339</v>
      </c>
      <c r="I28" s="4"/>
      <c r="J28" s="4"/>
    </row>
    <row r="29" spans="1:10" s="58" customFormat="1" ht="54" customHeight="1" x14ac:dyDescent="0.25">
      <c r="A29" s="75" t="s">
        <v>137</v>
      </c>
      <c r="B29" s="4" t="s">
        <v>223</v>
      </c>
      <c r="C29" s="96" t="s">
        <v>287</v>
      </c>
      <c r="D29" s="96" t="s">
        <v>287</v>
      </c>
      <c r="E29" s="96" t="s">
        <v>287</v>
      </c>
      <c r="F29" s="96" t="s">
        <v>287</v>
      </c>
      <c r="G29" s="60" t="s">
        <v>339</v>
      </c>
      <c r="H29" s="60" t="s">
        <v>339</v>
      </c>
      <c r="I29" s="4"/>
      <c r="J29" s="4"/>
    </row>
    <row r="30" spans="1:10" s="58" customFormat="1" ht="42" customHeight="1" x14ac:dyDescent="0.25">
      <c r="A30" s="75" t="s">
        <v>136</v>
      </c>
      <c r="B30" s="4" t="s">
        <v>225</v>
      </c>
      <c r="C30" s="96" t="s">
        <v>287</v>
      </c>
      <c r="D30" s="96" t="s">
        <v>287</v>
      </c>
      <c r="E30" s="96" t="s">
        <v>287</v>
      </c>
      <c r="F30" s="96" t="s">
        <v>287</v>
      </c>
      <c r="G30" s="60" t="s">
        <v>339</v>
      </c>
      <c r="H30" s="60" t="s">
        <v>339</v>
      </c>
      <c r="I30" s="4"/>
      <c r="J30" s="4"/>
    </row>
    <row r="31" spans="1:10" s="58" customFormat="1" ht="37.5" customHeight="1" x14ac:dyDescent="0.25">
      <c r="A31" s="75" t="s">
        <v>135</v>
      </c>
      <c r="B31" s="97" t="s">
        <v>221</v>
      </c>
      <c r="C31" s="176">
        <v>43544</v>
      </c>
      <c r="D31" s="176">
        <v>43544</v>
      </c>
      <c r="E31" s="176">
        <v>43544</v>
      </c>
      <c r="F31" s="176">
        <v>43544</v>
      </c>
      <c r="G31" s="60" t="s">
        <v>339</v>
      </c>
      <c r="H31" s="60" t="s">
        <v>339</v>
      </c>
      <c r="I31" s="4"/>
      <c r="J31" s="4"/>
    </row>
    <row r="32" spans="1:10" s="58" customFormat="1" ht="44.25" customHeight="1" x14ac:dyDescent="0.25">
      <c r="A32" s="75" t="s">
        <v>133</v>
      </c>
      <c r="B32" s="97" t="s">
        <v>226</v>
      </c>
      <c r="C32" s="98" t="s">
        <v>456</v>
      </c>
      <c r="D32" s="98" t="s">
        <v>456</v>
      </c>
      <c r="E32" s="98" t="s">
        <v>456</v>
      </c>
      <c r="F32" s="98" t="s">
        <v>456</v>
      </c>
      <c r="G32" s="60" t="s">
        <v>339</v>
      </c>
      <c r="H32" s="60" t="s">
        <v>339</v>
      </c>
      <c r="I32" s="4"/>
      <c r="J32" s="4"/>
    </row>
    <row r="33" spans="1:10" s="58" customFormat="1" ht="56.25" customHeight="1" x14ac:dyDescent="0.25">
      <c r="A33" s="75" t="s">
        <v>237</v>
      </c>
      <c r="B33" s="97" t="s">
        <v>159</v>
      </c>
      <c r="C33" s="96" t="s">
        <v>457</v>
      </c>
      <c r="D33" s="96" t="s">
        <v>457</v>
      </c>
      <c r="E33" s="96" t="s">
        <v>457</v>
      </c>
      <c r="F33" s="96" t="s">
        <v>457</v>
      </c>
      <c r="G33" s="60" t="s">
        <v>339</v>
      </c>
      <c r="H33" s="60" t="s">
        <v>339</v>
      </c>
      <c r="I33" s="4"/>
      <c r="J33" s="4"/>
    </row>
    <row r="34" spans="1:10" s="58" customFormat="1" ht="80.25" customHeight="1" x14ac:dyDescent="0.25">
      <c r="A34" s="75" t="s">
        <v>238</v>
      </c>
      <c r="B34" s="97" t="s">
        <v>230</v>
      </c>
      <c r="C34" s="96" t="s">
        <v>457</v>
      </c>
      <c r="D34" s="96" t="s">
        <v>457</v>
      </c>
      <c r="E34" s="96" t="s">
        <v>457</v>
      </c>
      <c r="F34" s="96" t="s">
        <v>457</v>
      </c>
      <c r="G34" s="60" t="s">
        <v>339</v>
      </c>
      <c r="H34" s="60" t="s">
        <v>339</v>
      </c>
      <c r="I34" s="59"/>
      <c r="J34" s="4"/>
    </row>
    <row r="35" spans="1:10" s="58" customFormat="1" ht="49.5" customHeight="1" x14ac:dyDescent="0.25">
      <c r="A35" s="75" t="s">
        <v>239</v>
      </c>
      <c r="B35" s="97" t="s">
        <v>134</v>
      </c>
      <c r="C35" s="96" t="s">
        <v>458</v>
      </c>
      <c r="D35" s="96" t="s">
        <v>458</v>
      </c>
      <c r="E35" s="96" t="s">
        <v>458</v>
      </c>
      <c r="F35" s="96" t="s">
        <v>458</v>
      </c>
      <c r="G35" s="60" t="s">
        <v>339</v>
      </c>
      <c r="H35" s="60" t="s">
        <v>339</v>
      </c>
      <c r="I35" s="59"/>
      <c r="J35" s="4"/>
    </row>
    <row r="36" spans="1:10" s="57" customFormat="1" ht="37.5" customHeight="1" x14ac:dyDescent="0.25">
      <c r="A36" s="75" t="s">
        <v>240</v>
      </c>
      <c r="B36" s="97" t="s">
        <v>222</v>
      </c>
      <c r="C36" s="96" t="s">
        <v>287</v>
      </c>
      <c r="D36" s="96" t="s">
        <v>287</v>
      </c>
      <c r="E36" s="96" t="s">
        <v>287</v>
      </c>
      <c r="F36" s="96" t="s">
        <v>287</v>
      </c>
      <c r="G36" s="60" t="s">
        <v>339</v>
      </c>
      <c r="H36" s="60" t="s">
        <v>339</v>
      </c>
      <c r="I36" s="4"/>
      <c r="J36" s="4"/>
    </row>
    <row r="37" spans="1:10" s="57" customFormat="1" x14ac:dyDescent="0.25">
      <c r="A37" s="75" t="s">
        <v>241</v>
      </c>
      <c r="B37" s="97" t="s">
        <v>132</v>
      </c>
      <c r="C37" s="96" t="s">
        <v>339</v>
      </c>
      <c r="D37" s="96" t="s">
        <v>339</v>
      </c>
      <c r="E37" s="176">
        <v>43544</v>
      </c>
      <c r="F37" s="100">
        <v>43646</v>
      </c>
      <c r="G37" s="60" t="s">
        <v>339</v>
      </c>
      <c r="H37" s="60" t="s">
        <v>339</v>
      </c>
      <c r="I37" s="4"/>
      <c r="J37" s="4"/>
    </row>
    <row r="38" spans="1:10" s="57" customFormat="1" x14ac:dyDescent="0.25">
      <c r="A38" s="75" t="s">
        <v>242</v>
      </c>
      <c r="B38" s="99" t="s">
        <v>131</v>
      </c>
      <c r="C38" s="96"/>
      <c r="D38" s="96"/>
      <c r="E38" s="96"/>
      <c r="F38" s="96"/>
      <c r="G38" s="61"/>
      <c r="H38" s="61"/>
      <c r="I38" s="4"/>
      <c r="J38" s="4"/>
    </row>
    <row r="39" spans="1:10" s="57" customFormat="1" ht="63" customHeight="1" x14ac:dyDescent="0.25">
      <c r="A39" s="75">
        <v>2</v>
      </c>
      <c r="B39" s="97" t="s">
        <v>227</v>
      </c>
      <c r="C39" s="4" t="s">
        <v>459</v>
      </c>
      <c r="D39" s="4" t="s">
        <v>459</v>
      </c>
      <c r="E39" s="4" t="s">
        <v>459</v>
      </c>
      <c r="F39" s="4" t="s">
        <v>459</v>
      </c>
      <c r="G39" s="60" t="s">
        <v>339</v>
      </c>
      <c r="H39" s="60" t="s">
        <v>339</v>
      </c>
      <c r="I39" s="4"/>
      <c r="J39" s="4"/>
    </row>
    <row r="40" spans="1:10" s="57" customFormat="1" ht="33.75" customHeight="1" x14ac:dyDescent="0.25">
      <c r="A40" s="75" t="s">
        <v>130</v>
      </c>
      <c r="B40" s="97" t="s">
        <v>229</v>
      </c>
      <c r="C40" s="96" t="s">
        <v>460</v>
      </c>
      <c r="D40" s="96" t="s">
        <v>460</v>
      </c>
      <c r="E40" s="96" t="s">
        <v>460</v>
      </c>
      <c r="F40" s="96" t="s">
        <v>460</v>
      </c>
      <c r="G40" s="60" t="s">
        <v>339</v>
      </c>
      <c r="H40" s="60" t="s">
        <v>339</v>
      </c>
      <c r="I40" s="4"/>
      <c r="J40" s="4"/>
    </row>
    <row r="41" spans="1:10" s="57" customFormat="1" ht="63" customHeight="1" x14ac:dyDescent="0.25">
      <c r="A41" s="75" t="s">
        <v>129</v>
      </c>
      <c r="B41" s="99" t="s">
        <v>284</v>
      </c>
      <c r="C41" s="4"/>
      <c r="D41" s="4"/>
      <c r="E41" s="4"/>
      <c r="F41" s="4"/>
      <c r="G41" s="60"/>
      <c r="H41" s="60"/>
      <c r="I41" s="4"/>
      <c r="J41" s="4"/>
    </row>
    <row r="42" spans="1:10" s="57" customFormat="1" ht="58.5" customHeight="1" x14ac:dyDescent="0.25">
      <c r="A42" s="75">
        <v>3</v>
      </c>
      <c r="B42" s="97" t="s">
        <v>228</v>
      </c>
      <c r="C42" s="4" t="s">
        <v>461</v>
      </c>
      <c r="D42" s="4" t="s">
        <v>461</v>
      </c>
      <c r="E42" s="4" t="s">
        <v>461</v>
      </c>
      <c r="F42" s="4" t="s">
        <v>461</v>
      </c>
      <c r="G42" s="60" t="s">
        <v>339</v>
      </c>
      <c r="H42" s="60" t="s">
        <v>339</v>
      </c>
      <c r="I42" s="4"/>
      <c r="J42" s="4"/>
    </row>
    <row r="43" spans="1:10" s="57" customFormat="1" ht="34.5" customHeight="1" x14ac:dyDescent="0.25">
      <c r="A43" s="75" t="s">
        <v>128</v>
      </c>
      <c r="B43" s="97" t="s">
        <v>126</v>
      </c>
      <c r="C43" s="100" t="s">
        <v>462</v>
      </c>
      <c r="D43" s="100" t="s">
        <v>462</v>
      </c>
      <c r="E43" s="100" t="s">
        <v>462</v>
      </c>
      <c r="F43" s="100" t="s">
        <v>462</v>
      </c>
      <c r="G43" s="60" t="s">
        <v>339</v>
      </c>
      <c r="H43" s="60" t="s">
        <v>339</v>
      </c>
      <c r="I43" s="4"/>
      <c r="J43" s="4"/>
    </row>
    <row r="44" spans="1:10" s="57" customFormat="1" ht="24.75" customHeight="1" x14ac:dyDescent="0.25">
      <c r="A44" s="75" t="s">
        <v>127</v>
      </c>
      <c r="B44" s="97" t="s">
        <v>124</v>
      </c>
      <c r="C44" s="4" t="s">
        <v>463</v>
      </c>
      <c r="D44" s="4" t="s">
        <v>463</v>
      </c>
      <c r="E44" s="4" t="s">
        <v>463</v>
      </c>
      <c r="F44" s="4" t="s">
        <v>463</v>
      </c>
      <c r="G44" s="60" t="s">
        <v>339</v>
      </c>
      <c r="H44" s="60" t="s">
        <v>339</v>
      </c>
      <c r="I44" s="4"/>
      <c r="J44" s="4"/>
    </row>
    <row r="45" spans="1:10" s="57" customFormat="1" ht="90.75" customHeight="1" x14ac:dyDescent="0.25">
      <c r="A45" s="75" t="s">
        <v>125</v>
      </c>
      <c r="B45" s="97" t="s">
        <v>233</v>
      </c>
      <c r="C45" s="96" t="s">
        <v>288</v>
      </c>
      <c r="D45" s="96" t="s">
        <v>288</v>
      </c>
      <c r="E45" s="100">
        <v>43792</v>
      </c>
      <c r="F45" s="100">
        <v>43792</v>
      </c>
      <c r="G45" s="60" t="s">
        <v>339</v>
      </c>
      <c r="H45" s="60" t="s">
        <v>339</v>
      </c>
      <c r="I45" s="4"/>
      <c r="J45" s="4"/>
    </row>
    <row r="46" spans="1:10" s="57" customFormat="1" ht="167.25" customHeight="1" x14ac:dyDescent="0.25">
      <c r="A46" s="75" t="s">
        <v>123</v>
      </c>
      <c r="B46" s="97" t="s">
        <v>231</v>
      </c>
      <c r="C46" s="96" t="s">
        <v>287</v>
      </c>
      <c r="D46" s="96" t="s">
        <v>287</v>
      </c>
      <c r="E46" s="96" t="s">
        <v>287</v>
      </c>
      <c r="F46" s="96" t="s">
        <v>287</v>
      </c>
      <c r="G46" s="60" t="s">
        <v>339</v>
      </c>
      <c r="H46" s="60" t="s">
        <v>339</v>
      </c>
      <c r="I46" s="4"/>
      <c r="J46" s="4"/>
    </row>
    <row r="47" spans="1:10" s="57" customFormat="1" ht="30.75" customHeight="1" x14ac:dyDescent="0.25">
      <c r="A47" s="75" t="s">
        <v>121</v>
      </c>
      <c r="B47" s="97" t="s">
        <v>122</v>
      </c>
      <c r="C47" s="101">
        <v>43797</v>
      </c>
      <c r="D47" s="101">
        <v>43797</v>
      </c>
      <c r="E47" s="101">
        <v>43789</v>
      </c>
      <c r="F47" s="101">
        <v>43797</v>
      </c>
      <c r="G47" s="60" t="s">
        <v>339</v>
      </c>
      <c r="H47" s="60" t="s">
        <v>339</v>
      </c>
      <c r="I47" s="4"/>
      <c r="J47" s="4"/>
    </row>
    <row r="48" spans="1:10" s="57" customFormat="1" ht="37.5" customHeight="1" x14ac:dyDescent="0.25">
      <c r="A48" s="75" t="s">
        <v>243</v>
      </c>
      <c r="B48" s="99" t="s">
        <v>120</v>
      </c>
      <c r="C48" s="96"/>
      <c r="D48" s="96"/>
      <c r="E48" s="96"/>
      <c r="F48" s="96"/>
      <c r="G48" s="61"/>
      <c r="H48" s="61"/>
      <c r="I48" s="4"/>
      <c r="J48" s="4"/>
    </row>
    <row r="49" spans="1:10" s="57" customFormat="1" ht="35.25" customHeight="1" x14ac:dyDescent="0.25">
      <c r="A49" s="75">
        <v>4</v>
      </c>
      <c r="B49" s="97" t="s">
        <v>118</v>
      </c>
      <c r="C49" s="101" t="s">
        <v>464</v>
      </c>
      <c r="D49" s="101" t="s">
        <v>464</v>
      </c>
      <c r="E49" s="101" t="s">
        <v>464</v>
      </c>
      <c r="F49" s="101" t="s">
        <v>464</v>
      </c>
      <c r="G49" s="60" t="s">
        <v>339</v>
      </c>
      <c r="H49" s="60" t="s">
        <v>339</v>
      </c>
      <c r="I49" s="4"/>
      <c r="J49" s="4"/>
    </row>
    <row r="50" spans="1:10" s="57" customFormat="1" ht="86.25" customHeight="1" x14ac:dyDescent="0.25">
      <c r="A50" s="75" t="s">
        <v>119</v>
      </c>
      <c r="B50" s="8" t="s">
        <v>232</v>
      </c>
      <c r="C50" s="4" t="s">
        <v>453</v>
      </c>
      <c r="D50" s="4" t="s">
        <v>453</v>
      </c>
      <c r="E50" s="101">
        <v>44185</v>
      </c>
      <c r="F50" s="101">
        <v>44185</v>
      </c>
      <c r="G50" s="60" t="s">
        <v>339</v>
      </c>
      <c r="H50" s="60" t="s">
        <v>339</v>
      </c>
      <c r="I50" s="4"/>
      <c r="J50" s="4"/>
    </row>
    <row r="51" spans="1:10" s="57" customFormat="1" ht="77.25" customHeight="1" x14ac:dyDescent="0.25">
      <c r="A51" s="75" t="s">
        <v>117</v>
      </c>
      <c r="B51" s="8" t="s">
        <v>234</v>
      </c>
      <c r="C51" s="96" t="s">
        <v>453</v>
      </c>
      <c r="D51" s="96" t="s">
        <v>453</v>
      </c>
      <c r="E51" s="96" t="s">
        <v>453</v>
      </c>
      <c r="F51" s="96" t="s">
        <v>453</v>
      </c>
      <c r="G51" s="60" t="s">
        <v>339</v>
      </c>
      <c r="H51" s="60" t="s">
        <v>339</v>
      </c>
      <c r="I51" s="4"/>
      <c r="J51" s="4"/>
    </row>
    <row r="52" spans="1:10" s="57" customFormat="1" ht="71.25" customHeight="1" x14ac:dyDescent="0.25">
      <c r="A52" s="75" t="s">
        <v>115</v>
      </c>
      <c r="B52" s="8" t="s">
        <v>116</v>
      </c>
      <c r="C52" s="96" t="s">
        <v>288</v>
      </c>
      <c r="D52" s="96" t="s">
        <v>288</v>
      </c>
      <c r="E52" s="100">
        <v>43830</v>
      </c>
      <c r="F52" s="100">
        <v>43830</v>
      </c>
      <c r="G52" s="60" t="s">
        <v>339</v>
      </c>
      <c r="H52" s="60" t="s">
        <v>339</v>
      </c>
      <c r="I52" s="4"/>
      <c r="J52" s="4"/>
    </row>
    <row r="53" spans="1:10" s="57" customFormat="1" ht="48" customHeight="1" x14ac:dyDescent="0.25">
      <c r="A53" s="75" t="s">
        <v>113</v>
      </c>
      <c r="B53" s="76" t="s">
        <v>235</v>
      </c>
      <c r="C53" s="96" t="s">
        <v>455</v>
      </c>
      <c r="D53" s="96" t="s">
        <v>455</v>
      </c>
      <c r="E53" s="100">
        <v>44190</v>
      </c>
      <c r="F53" s="100">
        <v>44190</v>
      </c>
      <c r="G53" s="60" t="s">
        <v>339</v>
      </c>
      <c r="H53" s="60" t="s">
        <v>339</v>
      </c>
      <c r="I53" s="4"/>
      <c r="J53" s="4"/>
    </row>
    <row r="54" spans="1:10" s="57" customFormat="1" ht="46.5" customHeight="1" x14ac:dyDescent="0.25">
      <c r="A54" s="75" t="s">
        <v>236</v>
      </c>
      <c r="B54" s="8" t="s">
        <v>114</v>
      </c>
      <c r="C54" s="96" t="s">
        <v>454</v>
      </c>
      <c r="D54" s="96" t="s">
        <v>454</v>
      </c>
      <c r="E54" s="100">
        <v>44195</v>
      </c>
      <c r="F54" s="100">
        <v>44195</v>
      </c>
      <c r="G54" s="60" t="s">
        <v>339</v>
      </c>
      <c r="H54" s="60" t="s">
        <v>339</v>
      </c>
      <c r="I54" s="4"/>
      <c r="J54" s="4"/>
    </row>
  </sheetData>
  <mergeCells count="21">
    <mergeCell ref="A13:J13"/>
    <mergeCell ref="H21:H23"/>
    <mergeCell ref="A19:J19"/>
    <mergeCell ref="C21:F21"/>
    <mergeCell ref="A5:J5"/>
    <mergeCell ref="A7:J7"/>
    <mergeCell ref="A9:J9"/>
    <mergeCell ref="A10:J10"/>
    <mergeCell ref="A12:J12"/>
    <mergeCell ref="A15:J15"/>
    <mergeCell ref="A11:J11"/>
    <mergeCell ref="A21:A23"/>
    <mergeCell ref="A14:J14"/>
    <mergeCell ref="G21:G23"/>
    <mergeCell ref="J21:J23"/>
    <mergeCell ref="A8:J8"/>
    <mergeCell ref="I21:I23"/>
    <mergeCell ref="A16:J16"/>
    <mergeCell ref="E22:F22"/>
    <mergeCell ref="C22:D22"/>
    <mergeCell ref="B21:B23"/>
  </mergeCells>
  <phoneticPr fontId="0" type="noConversion"/>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2016-04-04T06:19:47Z</cp:lastPrinted>
  <dcterms:created xsi:type="dcterms:W3CDTF">2015-08-16T15:31:05Z</dcterms:created>
  <dcterms:modified xsi:type="dcterms:W3CDTF">2019-11-10T09:14:57Z</dcterms:modified>
</cp:coreProperties>
</file>