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9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H37" i="16" l="1"/>
  <c r="G37" i="16"/>
  <c r="B29" i="22"/>
  <c r="B30" i="22"/>
  <c r="C63" i="22"/>
  <c r="C61" i="22"/>
  <c r="B38" i="22"/>
  <c r="B33" i="22"/>
  <c r="AD27" i="5"/>
  <c r="AB27" i="5"/>
  <c r="P27" i="5"/>
  <c r="R27" i="5" s="1"/>
  <c r="B41" i="22" l="1"/>
  <c r="B56" i="22" l="1"/>
  <c r="A12" i="23" l="1"/>
  <c r="A13" i="28"/>
  <c r="A12" i="26"/>
  <c r="A13" i="25"/>
  <c r="A11" i="27"/>
  <c r="B66" i="22" l="1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A12" i="5" l="1"/>
  <c r="A12" i="22"/>
  <c r="B22" i="22" l="1"/>
  <c r="B80" i="22"/>
  <c r="B23" i="22" l="1"/>
  <c r="D22" i="24" l="1"/>
  <c r="D64" i="15" l="1"/>
  <c r="D62" i="15"/>
  <c r="D60" i="15"/>
  <c r="D61" i="15"/>
  <c r="D63" i="15"/>
  <c r="E49" i="15"/>
  <c r="E48" i="15"/>
  <c r="E56" i="15"/>
  <c r="E46" i="15"/>
  <c r="E57" i="15"/>
  <c r="E44" i="15"/>
  <c r="E54" i="15"/>
  <c r="E52" i="15"/>
  <c r="E47" i="15"/>
  <c r="E32" i="15"/>
  <c r="E31" i="15"/>
  <c r="E34" i="15"/>
  <c r="E33" i="15"/>
  <c r="D26" i="15"/>
  <c r="D25" i="15"/>
  <c r="E28" i="15" l="1"/>
  <c r="E29" i="15"/>
  <c r="C26" i="15"/>
  <c r="E41" i="15"/>
  <c r="E39" i="15"/>
  <c r="E53" i="15"/>
  <c r="E40" i="15"/>
  <c r="E37" i="15"/>
  <c r="F26" i="15"/>
  <c r="E26" i="15" s="1"/>
  <c r="F25" i="15"/>
  <c r="E25" i="15" s="1"/>
  <c r="E38" i="15"/>
  <c r="E55" i="15"/>
  <c r="E36" i="15"/>
  <c r="E45" i="15"/>
  <c r="E50" i="15"/>
  <c r="C25" i="15"/>
  <c r="C49" i="7" l="1"/>
  <c r="E42" i="15" l="1"/>
  <c r="A16" i="28" l="1"/>
  <c r="A15" i="23"/>
  <c r="A15" i="26"/>
  <c r="A16" i="25"/>
  <c r="A14" i="24"/>
  <c r="A14" i="27"/>
  <c r="B21" i="22"/>
  <c r="A15" i="6"/>
  <c r="A15" i="16" s="1"/>
  <c r="A14" i="15" s="1"/>
  <c r="A15" i="22" l="1"/>
  <c r="A15" i="5"/>
  <c r="B61" i="22" l="1"/>
  <c r="D61" i="22" l="1"/>
  <c r="B63" i="22" l="1"/>
  <c r="D63" i="22" l="1"/>
  <c r="B62" i="22"/>
  <c r="F27" i="15" l="1"/>
  <c r="E27" i="15" s="1"/>
  <c r="B27" i="22" l="1"/>
  <c r="C48" i="7"/>
  <c r="B34" i="22" l="1"/>
  <c r="B39" i="22"/>
  <c r="B54" i="22"/>
  <c r="B52" i="22" s="1"/>
  <c r="B60" i="22"/>
  <c r="F63" i="15" l="1"/>
  <c r="E63" i="15" s="1"/>
  <c r="F61" i="15"/>
  <c r="E61" i="15" s="1"/>
  <c r="C28" i="15" l="1"/>
  <c r="C29" i="15" l="1"/>
  <c r="C27" i="15" s="1"/>
  <c r="F60" i="15" l="1"/>
  <c r="E60" i="15" s="1"/>
  <c r="F64" i="15" l="1"/>
  <c r="E64" i="15" s="1"/>
  <c r="D27" i="15" l="1"/>
  <c r="D28" i="15"/>
  <c r="D29" i="15" l="1"/>
  <c r="F62" i="15" l="1"/>
  <c r="E62" i="15" s="1"/>
</calcChain>
</file>

<file path=xl/sharedStrings.xml><?xml version="1.0" encoding="utf-8"?>
<sst xmlns="http://schemas.openxmlformats.org/spreadsheetml/2006/main" count="1157" uniqueCount="514">
  <si>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</si>
  <si>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</si>
  <si>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</si>
  <si>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</si>
  <si>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</si>
  <si>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</si>
  <si>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</si>
  <si>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</si>
  <si>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</si>
  <si>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</si>
  <si>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</si>
  <si>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</si>
  <si>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</si>
  <si>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</si>
  <si>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</si>
  <si>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</si>
  <si>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</si>
  <si>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</si>
  <si>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</si>
  <si>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</si>
  <si>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</si>
  <si>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</si>
  <si>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</si>
  <si>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</si>
  <si>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</si>
  <si>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</si>
  <si>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</si>
  <si>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</si>
  <si>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</si>
  <si>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</si>
  <si>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</si>
  <si>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</si>
  <si>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</si>
  <si>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</si>
  <si>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</si>
  <si>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</si>
  <si>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</si>
  <si>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</si>
  <si>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</si>
  <si>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</si>
  <si>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</si>
  <si>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</si>
  <si>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</si>
  <si>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</si>
  <si>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</si>
  <si>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</si>
  <si>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</si>
  <si>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</si>
  <si>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</si>
  <si>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</si>
  <si>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</si>
  <si>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</si>
  <si>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</si>
  <si>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</si>
  <si>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</si>
  <si>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</si>
  <si>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</si>
  <si>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</si>
  <si>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</si>
  <si>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</si>
  <si>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</si>
  <si>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</si>
  <si>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</si>
  <si>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</si>
  <si>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</si>
  <si>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</si>
  <si>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</si>
  <si>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</si>
  <si>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</si>
  <si>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</si>
  <si>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</si>
  <si>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</si>
  <si>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</si>
  <si>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</si>
  <si>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</si>
  <si>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</si>
  <si>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</si>
  <si>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</si>
  <si>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</si>
  <si>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</si>
  <si>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</si>
  <si>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</si>
  <si>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</si>
  <si>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</si>
  <si>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</si>
  <si>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</si>
  <si>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</si>
  <si>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</si>
  <si>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</si>
  <si>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</si>
  <si>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</si>
  <si>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</si>
  <si>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</si>
  <si>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</si>
  <si>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</si>
  <si>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</si>
  <si>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</si>
  <si>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</si>
  <si>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</si>
  <si>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</si>
  <si>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</si>
  <si>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</si>
  <si>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</si>
  <si>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</si>
  <si>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</si>
  <si>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</si>
  <si>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</si>
  <si>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</si>
  <si>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</si>
  <si>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</si>
  <si>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</si>
  <si>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</si>
  <si>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</si>
  <si>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</si>
  <si>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</si>
  <si>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</si>
  <si>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</si>
  <si>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</si>
  <si>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</si>
  <si>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</si>
  <si>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</si>
  <si>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</si>
  <si>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</si>
  <si>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</si>
  <si>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</si>
  <si>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</si>
  <si>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</si>
  <si>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</si>
  <si>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</si>
  <si>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</si>
  <si>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</si>
  <si>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</si>
  <si>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</si>
  <si>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</si>
  <si>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</si>
  <si>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</si>
  <si>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</si>
  <si>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</si>
  <si>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</si>
  <si>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</si>
  <si>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</si>
  <si>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</si>
  <si>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</si>
  <si>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</si>
  <si>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</si>
  <si>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</si>
  <si>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</si>
  <si>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</si>
  <si>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</si>
  <si>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</si>
  <si>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</si>
  <si>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</si>
  <si>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</si>
  <si>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</si>
  <si>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</si>
  <si>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</si>
  <si>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</si>
  <si>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</si>
  <si>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</si>
  <si>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</si>
  <si>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</si>
  <si>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</si>
  <si>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</si>
  <si>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</si>
  <si>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</si>
  <si>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</si>
  <si>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</si>
  <si>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</si>
  <si>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</si>
  <si>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</si>
  <si>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</si>
  <si>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</si>
  <si>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</si>
  <si>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</si>
  <si>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</si>
  <si>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</si>
  <si>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</si>
  <si>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</si>
  <si>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</si>
  <si>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</si>
  <si>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</si>
  <si>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</si>
  <si>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</si>
  <si>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</si>
  <si>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</si>
  <si>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</si>
  <si>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</si>
  <si>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</si>
  <si>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</si>
  <si>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</si>
  <si>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</si>
  <si>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</si>
  <si>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</si>
  <si>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</si>
  <si>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</si>
  <si>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</si>
  <si>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</si>
  <si>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</si>
  <si>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</si>
  <si>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</si>
  <si>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</si>
  <si>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</si>
  <si>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</si>
  <si>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</si>
  <si>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</si>
  <si>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</si>
  <si>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</si>
  <si>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</si>
  <si>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</si>
  <si>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</si>
  <si>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</si>
  <si>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</si>
  <si>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</si>
  <si>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</si>
  <si>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</si>
  <si>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</si>
  <si>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</si>
  <si>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</si>
  <si>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</si>
  <si>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</si>
  <si>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</si>
  <si>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</si>
  <si>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</si>
  <si>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</si>
  <si>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</si>
  <si>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</si>
  <si>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</si>
  <si>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</si>
  <si>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</si>
  <si>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</si>
  <si>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</si>
  <si>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</si>
  <si>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</si>
  <si>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</si>
  <si>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</si>
  <si>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</si>
  <si>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</si>
  <si>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</si>
  <si>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</si>
  <si>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</si>
  <si>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</si>
  <si>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</si>
  <si>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</si>
  <si>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</si>
  <si>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</si>
  <si>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</si>
  <si>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</si>
  <si>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</si>
  <si>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</si>
  <si>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</si>
  <si>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</si>
  <si>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</si>
  <si>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</si>
  <si>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</si>
  <si>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</si>
  <si>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</si>
  <si>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</si>
  <si>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</si>
  <si>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</si>
  <si>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</si>
  <si>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</si>
  <si>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</si>
  <si>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</si>
  <si>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</si>
  <si>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</si>
  <si>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</si>
  <si>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</si>
  <si>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</si>
  <si>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</si>
  <si>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</si>
  <si>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</si>
  <si>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</si>
  <si>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</si>
  <si>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</si>
  <si>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</si>
  <si>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</si>
  <si>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</si>
  <si>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</si>
  <si>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</si>
  <si>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</si>
  <si>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</si>
  <si>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</si>
  <si>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</si>
  <si>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</si>
  <si>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</si>
  <si>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</si>
  <si>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</si>
  <si>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</si>
  <si>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</si>
  <si>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</si>
  <si>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</si>
  <si>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</si>
  <si>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</si>
  <si>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</si>
  <si>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</si>
  <si>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</si>
  <si>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</si>
  <si>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</si>
  <si>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</si>
  <si>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</si>
  <si>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</si>
  <si>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</si>
  <si>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</si>
  <si>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</si>
  <si>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</si>
  <si>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</si>
  <si>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</si>
  <si>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</si>
  <si>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</si>
  <si>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</si>
  <si>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</si>
  <si>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</si>
  <si>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</si>
  <si>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</si>
  <si>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</si>
  <si>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</si>
  <si>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</si>
  <si>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</si>
  <si>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</si>
  <si>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</si>
  <si>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</si>
  <si>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</si>
  <si>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</si>
  <si>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</si>
  <si>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</si>
  <si>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</si>
  <si>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</si>
  <si>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</si>
  <si>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</si>
  <si>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</si>
  <si>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</si>
  <si>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</si>
  <si>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</si>
  <si>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</si>
  <si>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</si>
  <si>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</si>
  <si>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</si>
  <si>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</si>
  <si>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</si>
  <si>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</si>
  <si>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</si>
  <si>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</si>
  <si>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</si>
  <si>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</si>
  <si>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</si>
  <si>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</si>
  <si>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</si>
  <si>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</si>
  <si>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</si>
  <si>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</si>
  <si>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</si>
  <si>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</si>
  <si>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</si>
  <si>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</si>
  <si>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</si>
  <si>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</si>
  <si>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</si>
  <si>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</si>
  <si>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</si>
  <si>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</si>
  <si>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</si>
  <si>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</si>
  <si>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</si>
  <si>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</si>
  <si>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</si>
  <si>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</si>
  <si>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</si>
  <si>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</si>
  <si>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</si>
  <si>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</si>
  <si>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</si>
  <si>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</si>
  <si>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</si>
  <si>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</si>
  <si>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</si>
  <si>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</si>
  <si>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</si>
  <si>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</si>
  <si>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</si>
  <si>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</si>
  <si>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</si>
  <si>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</si>
  <si>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</si>
  <si>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</si>
  <si>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</si>
  <si>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</si>
  <si>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</si>
  <si>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</si>
  <si>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</si>
  <si>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</si>
  <si>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</si>
  <si>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</si>
  <si>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</si>
  <si>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</si>
  <si>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</si>
  <si>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</si>
  <si>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</si>
  <si>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</si>
  <si>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</si>
  <si>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</si>
  <si>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</si>
  <si>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</si>
  <si>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</si>
  <si>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</si>
  <si>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</si>
  <si>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</si>
  <si>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</si>
  <si>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</si>
  <si>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</si>
  <si>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</si>
  <si>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</si>
  <si>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</si>
  <si>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</si>
  <si>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</si>
  <si>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</si>
  <si>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</si>
  <si>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</si>
  <si>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</si>
  <si>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</si>
  <si>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</si>
  <si>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</si>
  <si>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</si>
  <si>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</si>
  <si>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</si>
  <si>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</si>
  <si>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</si>
  <si>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</si>
  <si>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</si>
  <si>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</si>
  <si>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</si>
  <si>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</si>
  <si>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</si>
  <si>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</si>
  <si>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</si>
  <si>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</si>
  <si>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</si>
  <si>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</si>
  <si>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</si>
  <si>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</si>
  <si>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</si>
  <si>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</si>
  <si>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</si>
  <si>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</si>
  <si>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</si>
  <si>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</si>
  <si>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</si>
  <si>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</si>
  <si>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</si>
  <si>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</si>
  <si>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</si>
  <si>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</si>
  <si>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</si>
  <si>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</si>
  <si>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</si>
  <si>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</si>
  <si>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</si>
  <si>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</si>
  <si>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</si>
  <si>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</si>
  <si>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</si>
  <si>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</si>
  <si>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</si>
  <si>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</si>
  <si>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</si>
  <si>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</si>
  <si>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</si>
  <si>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M_Che425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</si>
  <si>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</si>
  <si>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</si>
  <si>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</si>
  <si>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</si>
  <si>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</si>
  <si>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</si>
  <si>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</si>
  <si>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</si>
  <si>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Строительство КЛ 35 кВ от ПС 35 кВ Аэропорт до проектируемой ПС 35/10 кВ Аэровокзал с ВОЛС протяженностью 0,46 км</t>
  </si>
  <si>
    <t xml:space="preserve">Договор технологического присоединения от 08.04.2021 №11709/2020/ЧЭ/ГРОГЭС </t>
  </si>
  <si>
    <t>1. Строительсьво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</si>
  <si>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</si>
  <si>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</si>
  <si>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</si>
  <si>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</si>
  <si>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</si>
  <si>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региональный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</si>
  <si>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</si>
  <si>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35 кв - 0,46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</si>
  <si>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</si>
  <si>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</si>
  <si>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</si>
  <si>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</si>
  <si>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35 кВ Аэропорт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</si>
  <si>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</si>
  <si>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</si>
  <si>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7,98 млн.руб./км.</t>
  </si>
  <si>
    <t>с</t>
  </si>
  <si>
    <t xml:space="preserve">(0,46 МВА)  0,46 км 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</si>
  <si>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</si>
  <si>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</si>
  <si>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</si>
  <si>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645,5 тыс. руб. с НДС.</t>
  </si>
  <si>
    <t>СМР</t>
  </si>
  <si>
    <t>СР</t>
  </si>
  <si>
    <t>конкурс</t>
  </si>
  <si>
    <t>ООО "ЛИДЕР"</t>
  </si>
  <si>
    <t>ООО "ЛИДЕР" от 12.12.2022 № 08-2022-СМР-ЧЭ. Объем затрат по объекту 3,76 млн руб. с НДС</t>
  </si>
  <si>
    <t>объем заключенного договора в ценах 2022 года с НДС, млн. руб.</t>
  </si>
  <si>
    <t>ООО "ФИРМА ОРГРЭС" № 04-21-ПИР-ЧЭ от 30.07.2021. Объем затрат по объекту 0,65 млн руб. с НДС</t>
  </si>
  <si>
    <r>
      <t>Договор заключен на выполнение ПИР на нескольких объектов. Объем затрат по данному объекту 3 761</t>
    </r>
    <r>
      <rPr>
        <sz val="12"/>
        <rFont val="Times New Roman"/>
        <family val="1"/>
        <charset val="204"/>
      </rPr>
      <t xml:space="preserve"> тыс. ру</t>
    </r>
    <r>
      <rPr>
        <sz val="12"/>
        <color indexed="8"/>
        <rFont val="Times New Roman"/>
        <family val="1"/>
        <charset val="204"/>
      </rPr>
      <t>б. с НДС.</t>
    </r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</si>
  <si>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</si>
  <si>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</si>
  <si>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</si>
  <si>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</si>
  <si>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</si>
  <si>
    <t>объем заключенного договора в ценах ____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</si>
</sst>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31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0" fontId="6" fillId="0" borderId="10" xfId="53" applyFont="1" applyFill="1" applyBorder="1" applyAlignment="1">
      <alignment horizontal="center" vertical="center"/>
    </xf>
    <xf numFmtId="0" fontId="6" fillId="0" borderId="10" xfId="53" applyFont="1" applyFill="1" applyBorder="1" applyAlignment="1">
      <alignment horizontal="center" vertical="center" wrapText="1"/>
    </xf>
    <xf numFmtId="4" fontId="6" fillId="0" borderId="10" xfId="53" applyNumberFormat="1" applyFont="1" applyFill="1" applyBorder="1" applyAlignment="1">
      <alignment horizontal="center" vertical="center"/>
    </xf>
    <xf numFmtId="4" fontId="6" fillId="0" borderId="10" xfId="53" applyNumberFormat="1" applyFont="1" applyFill="1" applyBorder="1" applyAlignment="1">
      <alignment horizontal="center" vertical="center" wrapText="1"/>
    </xf>
    <xf numFmtId="0" fontId="10" fillId="0" borderId="10" xfId="53" applyFont="1" applyFill="1" applyBorder="1" applyAlignment="1">
      <alignment horizontal="center" vertical="center" wrapText="1"/>
    </xf>
    <xf numFmtId="4" fontId="10" fillId="0" borderId="10" xfId="53" applyNumberFormat="1" applyFont="1" applyFill="1" applyBorder="1" applyAlignment="1">
      <alignment horizontal="center" vertical="center" wrapText="1"/>
    </xf>
    <xf numFmtId="4" fontId="58" fillId="0" borderId="10" xfId="53" applyNumberFormat="1" applyFont="1" applyFill="1" applyBorder="1" applyAlignment="1">
      <alignment horizontal="center" vertical="center"/>
    </xf>
    <xf numFmtId="0" fontId="6" fillId="0" borderId="10" xfId="53" applyFont="1" applyFill="1" applyBorder="1" applyAlignment="1">
      <alignment vertical="center" wrapText="1"/>
    </xf>
    <xf numFmtId="14" fontId="6" fillId="0" borderId="10" xfId="53" applyNumberFormat="1" applyFont="1" applyFill="1" applyBorder="1" applyAlignment="1">
      <alignment horizontal="center" vertical="center"/>
    </xf>
    <xf numFmtId="0" fontId="6" fillId="0" borderId="10" xfId="53" applyFont="1" applyFill="1" applyBorder="1"/>
    <xf numFmtId="0" fontId="6" fillId="0" borderId="10" xfId="53" applyFont="1" applyFill="1" applyBorder="1" applyAlignment="1">
      <alignment horizontal="justify" vertical="center" wrapText="1"/>
    </xf>
    <xf numFmtId="0" fontId="6" fillId="0" borderId="0" xfId="53" applyFont="1" applyFill="1"/>
    <xf numFmtId="3" fontId="58" fillId="0" borderId="10" xfId="53" applyNumberFormat="1" applyFont="1" applyFill="1" applyBorder="1" applyAlignment="1">
      <alignment horizontal="center" vertical="center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6" fillId="0" borderId="14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1" fontId="10" fillId="0" borderId="14" xfId="53" applyNumberFormat="1" applyFont="1" applyFill="1" applyBorder="1" applyAlignment="1">
      <alignment horizontal="center" vertical="center" wrapText="1"/>
    </xf>
    <xf numFmtId="1" fontId="10" fillId="0" borderId="12" xfId="53" applyNumberFormat="1" applyFont="1" applyFill="1" applyBorder="1" applyAlignment="1">
      <alignment horizontal="center" vertical="center" wrapText="1"/>
    </xf>
    <xf numFmtId="1" fontId="6" fillId="0" borderId="11" xfId="53" applyNumberFormat="1" applyFont="1" applyFill="1" applyBorder="1" applyAlignment="1">
      <alignment horizontal="center" vertical="center" wrapText="1"/>
    </xf>
    <xf numFmtId="1" fontId="6" fillId="0" borderId="20" xfId="53" applyNumberFormat="1" applyFont="1" applyFill="1" applyBorder="1" applyAlignment="1">
      <alignment horizontal="center" vertical="center" wrapText="1"/>
    </xf>
    <xf numFmtId="1" fontId="6" fillId="0" borderId="19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/>
    </xf>
    <xf numFmtId="49" fontId="6" fillId="0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2b-mrsk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7" t="str">
        <f>'[1]6.2. отчет'!$B$2</f>
        <v>Год раскрытия информации: 2024 год</v>
      </c>
      <c r="B5" s="207"/>
      <c r="C5" s="207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11" t="s">
        <v>5</v>
      </c>
      <c r="B7" s="211"/>
      <c r="C7" s="21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12" t="s">
        <v>286</v>
      </c>
      <c r="B9" s="212"/>
      <c r="C9" s="212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13" t="s">
        <v>4</v>
      </c>
      <c r="B10" s="213"/>
      <c r="C10" s="213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12" t="s">
        <v>466</v>
      </c>
      <c r="B12" s="212"/>
      <c r="C12" s="212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13" t="s">
        <v>3</v>
      </c>
      <c r="B13" s="213"/>
      <c r="C13" s="213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3.25" customHeight="1" x14ac:dyDescent="0.2">
      <c r="A15" s="214" t="str">
        <f>VLOOKUP(A12,'[1]6.2. отчет'!$A:$C,3,0)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208" t="s">
        <v>2</v>
      </c>
      <c r="B16" s="208"/>
      <c r="C16" s="208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09" t="s">
        <v>278</v>
      </c>
      <c r="B18" s="210"/>
      <c r="C18" s="210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478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445</v>
      </c>
      <c r="C23" s="65" t="s">
        <v>479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204"/>
      <c r="B24" s="205"/>
      <c r="C24" s="206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251</v>
      </c>
      <c r="C25" s="78" t="s">
        <v>480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481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482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252</v>
      </c>
      <c r="C28" s="78" t="s">
        <v>287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253</v>
      </c>
      <c r="C29" s="78" t="s">
        <v>287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254</v>
      </c>
      <c r="C30" s="78" t="s">
        <v>287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255</v>
      </c>
      <c r="C31" s="78" t="s">
        <v>447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256</v>
      </c>
      <c r="C32" s="78" t="s">
        <v>287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257</v>
      </c>
      <c r="C33" s="78" t="s">
        <v>483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266</v>
      </c>
      <c r="B34" s="65" t="s">
        <v>258</v>
      </c>
      <c r="C34" s="78" t="s">
        <v>447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261</v>
      </c>
      <c r="B35" s="65" t="s">
        <v>60</v>
      </c>
      <c r="C35" s="78" t="s">
        <v>287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267</v>
      </c>
      <c r="B36" s="65" t="s">
        <v>259</v>
      </c>
      <c r="C36" s="78" t="s">
        <v>484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262</v>
      </c>
      <c r="B37" s="65" t="s">
        <v>260</v>
      </c>
      <c r="C37" s="78" t="s">
        <v>484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268</v>
      </c>
      <c r="B38" s="65" t="s">
        <v>167</v>
      </c>
      <c r="C38" s="78" t="s">
        <v>484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04"/>
      <c r="B39" s="205"/>
      <c r="C39" s="20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10.25" x14ac:dyDescent="0.25">
      <c r="A40" s="63" t="s">
        <v>263</v>
      </c>
      <c r="B40" s="65" t="s">
        <v>444</v>
      </c>
      <c r="C40" s="78" t="s">
        <v>485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269</v>
      </c>
      <c r="B41" s="22" t="s">
        <v>301</v>
      </c>
      <c r="C41" s="78" t="s">
        <v>287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264</v>
      </c>
      <c r="B42" s="22" t="s">
        <v>302</v>
      </c>
      <c r="C42" s="78" t="s">
        <v>486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271</v>
      </c>
      <c r="B43" s="22" t="s">
        <v>303</v>
      </c>
      <c r="C43" s="78" t="s">
        <v>287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265</v>
      </c>
      <c r="B44" s="22" t="s">
        <v>304</v>
      </c>
      <c r="C44" s="78" t="s">
        <v>287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305</v>
      </c>
      <c r="B45" s="22" t="s">
        <v>306</v>
      </c>
      <c r="C45" s="65">
        <v>0.21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307</v>
      </c>
      <c r="B46" s="22" t="s">
        <v>279</v>
      </c>
      <c r="C46" s="78" t="s">
        <v>487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442</v>
      </c>
      <c r="B48" s="22" t="s">
        <v>283</v>
      </c>
      <c r="C48" s="182">
        <f>'6.2. Паспорт фин осв ввод'!C24</f>
        <v>4.4063809959999993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443</v>
      </c>
      <c r="B49" s="22" t="s">
        <v>284</v>
      </c>
      <c r="C49" s="182">
        <f>'6.2. Паспорт фин осв ввод'!C30</f>
        <v>3.6719841666666664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abSelected="1" topLeftCell="A25" zoomScale="60" zoomScaleNormal="60" zoomScaleSheetLayoutView="75" workbookViewId="0">
      <selection activeCell="H60" sqref="H60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6" spans="1:11" ht="18.75" x14ac:dyDescent="0.25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12" t="str">
        <f>'6.1. Паспорт сетевой график'!A9:L9</f>
        <v>АО "Чеченэнерго"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8.75" customHeight="1" x14ac:dyDescent="0.25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1" x14ac:dyDescent="0.25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spans="1:11" x14ac:dyDescent="0.25">
      <c r="A11" s="212" t="str">
        <f>'6.1. Паспорт сетевой график'!A12:L12</f>
        <v>M_Che425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</row>
    <row r="12" spans="1:11" x14ac:dyDescent="0.25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1" ht="16.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 x14ac:dyDescent="0.25">
      <c r="A14" s="212" t="str">
        <f>'6.1. Паспорт сетевой график'!A15:L15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  <row r="15" spans="1:11" ht="15.75" customHeight="1" x14ac:dyDescent="0.25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</row>
    <row r="16" spans="1:11" x14ac:dyDescent="0.25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</row>
    <row r="18" spans="1:13" x14ac:dyDescent="0.25">
      <c r="A18" s="282" t="s">
        <v>273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</row>
    <row r="19" spans="1:13" x14ac:dyDescent="0.25">
      <c r="F19" s="60"/>
    </row>
    <row r="20" spans="1:13" ht="33" customHeight="1" x14ac:dyDescent="0.25">
      <c r="A20" s="277" t="s">
        <v>124</v>
      </c>
      <c r="B20" s="277" t="s">
        <v>123</v>
      </c>
      <c r="C20" s="283" t="s">
        <v>122</v>
      </c>
      <c r="D20" s="284"/>
      <c r="E20" s="278" t="s">
        <v>121</v>
      </c>
      <c r="F20" s="279"/>
      <c r="G20" s="261" t="s">
        <v>508</v>
      </c>
      <c r="H20" s="274" t="s">
        <v>509</v>
      </c>
      <c r="I20" s="275"/>
      <c r="J20" s="275"/>
      <c r="K20" s="276"/>
    </row>
    <row r="21" spans="1:13" ht="87" customHeight="1" x14ac:dyDescent="0.25">
      <c r="A21" s="277"/>
      <c r="B21" s="277"/>
      <c r="C21" s="285"/>
      <c r="D21" s="286"/>
      <c r="E21" s="280"/>
      <c r="F21" s="281"/>
      <c r="G21" s="262"/>
      <c r="H21" s="267" t="s">
        <v>0</v>
      </c>
      <c r="I21" s="268"/>
      <c r="J21" s="267" t="s">
        <v>7</v>
      </c>
      <c r="K21" s="268"/>
    </row>
    <row r="22" spans="1:13" ht="62.25" customHeight="1" x14ac:dyDescent="0.25">
      <c r="A22" s="277"/>
      <c r="B22" s="277"/>
      <c r="C22" s="185" t="s">
        <v>0</v>
      </c>
      <c r="D22" s="185" t="s">
        <v>7</v>
      </c>
      <c r="E22" s="171" t="s">
        <v>510</v>
      </c>
      <c r="F22" s="171" t="s">
        <v>511</v>
      </c>
      <c r="G22" s="263"/>
      <c r="H22" s="172" t="s">
        <v>497</v>
      </c>
      <c r="I22" s="172" t="s">
        <v>498</v>
      </c>
      <c r="J22" s="172" t="s">
        <v>497</v>
      </c>
      <c r="K22" s="172" t="s">
        <v>498</v>
      </c>
    </row>
    <row r="23" spans="1:13" ht="19.5" customHeight="1" x14ac:dyDescent="0.25">
      <c r="A23" s="186">
        <v>1</v>
      </c>
      <c r="B23" s="186">
        <v>2</v>
      </c>
      <c r="C23" s="186">
        <v>3</v>
      </c>
      <c r="D23" s="186">
        <v>4</v>
      </c>
      <c r="E23" s="186">
        <v>5</v>
      </c>
      <c r="F23" s="186">
        <v>6</v>
      </c>
      <c r="G23" s="186">
        <v>7</v>
      </c>
      <c r="H23" s="186">
        <v>8</v>
      </c>
      <c r="I23" s="186">
        <v>9</v>
      </c>
      <c r="J23" s="186">
        <v>10</v>
      </c>
      <c r="K23" s="186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73">
        <f>VLOOKUP($A$11,'[1]6.2. отчет'!$D:$K,2,0)</f>
        <v>4.4063809959999993</v>
      </c>
      <c r="D24" s="173">
        <f>VLOOKUP($A$11,'[1]6.2. отчет'!$D:$K,5,0)</f>
        <v>3.7495961959999997</v>
      </c>
      <c r="E24" s="173">
        <f>VLOOKUP($A$11,'[1]6.2. отчет'!$D:$K,7,0)</f>
        <v>3.7608543199999995</v>
      </c>
      <c r="F24" s="173">
        <f>VLOOKUP($A$11,'[1]6.2. отчет'!$D:$K,8,0)</f>
        <v>0.65678479999999961</v>
      </c>
      <c r="G24" s="173">
        <f>VLOOKUP($A$11,'[1]6.2. отчет'!$D:$BL,9,0)</f>
        <v>3.1040695199999999</v>
      </c>
      <c r="H24" s="173">
        <f>VLOOKUP($A$11,'[1]6.2. отчет'!$D:$BL,15,0)</f>
        <v>0</v>
      </c>
      <c r="I24" s="173">
        <f>VLOOKUP($A$11,'[1]6.2. отчет'!$D:$CU,45,0)</f>
        <v>0</v>
      </c>
      <c r="J24" s="173">
        <f>VLOOKUP($A$11,'[1]6.2. отчет'!$D:$BL,56,0)</f>
        <v>0</v>
      </c>
      <c r="K24" s="173">
        <f>VLOOKUP($A$11,'[1]6.2. отчет'!$D:$CU,86,0)</f>
        <v>0</v>
      </c>
    </row>
    <row r="25" spans="1:13" s="36" customFormat="1" ht="21.75" customHeight="1" x14ac:dyDescent="0.25">
      <c r="A25" s="11" t="s">
        <v>119</v>
      </c>
      <c r="B25" s="7" t="s">
        <v>118</v>
      </c>
      <c r="C25" s="173">
        <f t="shared" ref="C25:C26" si="0">H25</f>
        <v>0</v>
      </c>
      <c r="D25" s="173">
        <f>G25+J25</f>
        <v>0</v>
      </c>
      <c r="E25" s="173">
        <f t="shared" ref="E25:E28" si="1">F25+G25</f>
        <v>0</v>
      </c>
      <c r="F25" s="173">
        <f t="shared" ref="F25:F26" si="2">J25</f>
        <v>0</v>
      </c>
      <c r="G25" s="173">
        <f>VLOOKUP($A$11,'[1]6.2. отчет'!$D:$BL,10,0)</f>
        <v>0</v>
      </c>
      <c r="H25" s="173">
        <f>VLOOKUP($A$11,'[1]6.2. отчет'!$D:$BL,16,0)</f>
        <v>0</v>
      </c>
      <c r="I25" s="173">
        <f>IF(H25=0,0,VLOOKUP($A$11,'[1]6.2. отчет'!$D:$CU,46,0))</f>
        <v>0</v>
      </c>
      <c r="J25" s="173">
        <f>VLOOKUP($A$11,'[1]6.2. отчет'!$D:$BL,57,0)</f>
        <v>0</v>
      </c>
      <c r="K25" s="173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73">
        <f t="shared" si="0"/>
        <v>0</v>
      </c>
      <c r="D26" s="173">
        <f>G26+J26</f>
        <v>0</v>
      </c>
      <c r="E26" s="173">
        <f t="shared" si="1"/>
        <v>0</v>
      </c>
      <c r="F26" s="173">
        <f t="shared" si="2"/>
        <v>0</v>
      </c>
      <c r="G26" s="173">
        <f>VLOOKUP($A$11,'[1]6.2. отчет'!$D:$BL,11,0)</f>
        <v>0</v>
      </c>
      <c r="H26" s="173">
        <f>VLOOKUP($A$11,'[1]6.2. отчет'!$D:$BL,17,0)</f>
        <v>0</v>
      </c>
      <c r="I26" s="173">
        <f>IF(H26=0,0,VLOOKUP($A$11,'[1]6.2. отчет'!$D:$CU,47,0))</f>
        <v>0</v>
      </c>
      <c r="J26" s="173">
        <f>VLOOKUP($A$11,'[1]6.2. отчет'!$D:$BL,58,0)</f>
        <v>0</v>
      </c>
      <c r="K26" s="173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224</v>
      </c>
      <c r="C27" s="173">
        <f>IF(C24="нд","нд",C24-(C29+C28+C26+C25))</f>
        <v>4.4063809959999993</v>
      </c>
      <c r="D27" s="173">
        <f>G27+J27+D24-(G24+J24)</f>
        <v>0.6455266759999998</v>
      </c>
      <c r="E27" s="173">
        <f>F27+G27</f>
        <v>0.65678479999999961</v>
      </c>
      <c r="F27" s="173">
        <f>F24-(F25+F26+F28+F29)</f>
        <v>0.65678479999999961</v>
      </c>
      <c r="G27" s="173">
        <f>VLOOKUP($A$11,'[1]6.2. отчет'!$D:$BL,12,0)</f>
        <v>0</v>
      </c>
      <c r="H27" s="173">
        <f>VLOOKUP($A$11,'[1]6.2. отчет'!$D:$BL,18,0)</f>
        <v>0</v>
      </c>
      <c r="I27" s="173">
        <f>IF(H27=0,0,VLOOKUP($A$11,'[1]6.2. отчет'!$D:$CU,48,0))</f>
        <v>0</v>
      </c>
      <c r="J27" s="173">
        <f>VLOOKUP($A$11,'[1]6.2. отчет'!$D:$BL,59,0)</f>
        <v>0</v>
      </c>
      <c r="K27" s="173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73">
        <f>H28</f>
        <v>0</v>
      </c>
      <c r="D28" s="173">
        <f t="shared" ref="D28:D29" si="3">G28+J28</f>
        <v>3.1040695199999999</v>
      </c>
      <c r="E28" s="173">
        <f t="shared" si="1"/>
        <v>3.1040695199999999</v>
      </c>
      <c r="F28" s="173">
        <v>0</v>
      </c>
      <c r="G28" s="173">
        <f>VLOOKUP($A$11,'[1]6.2. отчет'!$D:$BL,13,0)</f>
        <v>3.1040695199999999</v>
      </c>
      <c r="H28" s="173">
        <f>VLOOKUP($A$11,'[1]6.2. отчет'!$D:$BL,19,0)</f>
        <v>0</v>
      </c>
      <c r="I28" s="173">
        <f>IF(H28=0,0,VLOOKUP($A$11,'[1]6.2. отчет'!$D:$CU,49,0))</f>
        <v>0</v>
      </c>
      <c r="J28" s="173">
        <f>VLOOKUP($A$11,'[1]6.2. отчет'!$D:$BL,60,0)</f>
        <v>0</v>
      </c>
      <c r="K28" s="173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73">
        <f>H29</f>
        <v>0</v>
      </c>
      <c r="D29" s="173">
        <f t="shared" si="3"/>
        <v>0</v>
      </c>
      <c r="E29" s="173">
        <f>F29+G29</f>
        <v>0</v>
      </c>
      <c r="F29" s="173">
        <v>0</v>
      </c>
      <c r="G29" s="173">
        <f>VLOOKUP($A$11,'[1]6.2. отчет'!$D:$BL,14,0)</f>
        <v>0</v>
      </c>
      <c r="H29" s="173">
        <f>VLOOKUP($A$11,'[1]6.2. отчет'!$D:$BL,20,0)</f>
        <v>0</v>
      </c>
      <c r="I29" s="173">
        <f>IF(H29=0,0,VLOOKUP($A$11,'[1]6.2. отчет'!$D:$CU,50,0))</f>
        <v>0</v>
      </c>
      <c r="J29" s="173">
        <f>VLOOKUP($A$11,'[1]6.2. отчет'!$D:$BL,61,0)</f>
        <v>0</v>
      </c>
      <c r="K29" s="173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73">
        <f>VLOOKUP($A$11,'[1]6.2. отчет'!$D:$DB,99,0)</f>
        <v>3.6719841666666664</v>
      </c>
      <c r="D30" s="173">
        <f>VLOOKUP($A$11,'[1]6.2. отчет'!$D:$FK,106,0)</f>
        <v>3.2608069</v>
      </c>
      <c r="E30" s="173">
        <f>VLOOKUP($A$11,'[1]6.2. отчет'!$D:$FK,108,0)</f>
        <v>3.1340452666666665</v>
      </c>
      <c r="F30" s="173">
        <f>VLOOKUP($A$11,'[1]6.2. отчет'!$D:$FK,109,0)</f>
        <v>0.41117726666666643</v>
      </c>
      <c r="G30" s="173">
        <f>VLOOKUP($A$11,'[1]6.2. отчет'!$D:$FK,110,0)</f>
        <v>2.7228680000000001</v>
      </c>
      <c r="H30" s="173">
        <f>VLOOKUP($A$11,'[1]6.2. отчет'!$D:$FK,115,0)</f>
        <v>0</v>
      </c>
      <c r="I30" s="173">
        <f>VLOOKUP($A$11,'[1]6.2. отчет'!$D:$AGP,124,0)</f>
        <v>0</v>
      </c>
      <c r="J30" s="173">
        <f>VLOOKUP($A$11,'[1]6.2. отчет'!$D:$FK,130,0)</f>
        <v>0</v>
      </c>
      <c r="K30" s="173">
        <f>VLOOKUP($A$11,'[1]6.2. отчет'!$D:$FK,155,0)</f>
        <v>0</v>
      </c>
      <c r="M30" s="201"/>
    </row>
    <row r="31" spans="1:13" s="36" customFormat="1" ht="21" customHeight="1" x14ac:dyDescent="0.25">
      <c r="A31" s="13" t="s">
        <v>109</v>
      </c>
      <c r="B31" s="7" t="s">
        <v>108</v>
      </c>
      <c r="C31" s="173">
        <f>VLOOKUP($A$11,'[1]6.2. отчет'!$D:$DB,100,0)</f>
        <v>0.56003160000000007</v>
      </c>
      <c r="D31" s="173">
        <v>0.5379389</v>
      </c>
      <c r="E31" s="173">
        <f>F31+G31</f>
        <v>0</v>
      </c>
      <c r="F31" s="173">
        <v>0</v>
      </c>
      <c r="G31" s="173">
        <f>VLOOKUP($A$11,'[1]6.2. отчет'!$D:$FK,111,0)</f>
        <v>0</v>
      </c>
      <c r="H31" s="173">
        <v>0</v>
      </c>
      <c r="I31" s="173">
        <v>0</v>
      </c>
      <c r="J31" s="173">
        <f>VLOOKUP($A$11,'[1]6.2. отчет'!$D:$FK,131,0)</f>
        <v>0</v>
      </c>
      <c r="K31" s="173">
        <f>IF(J31=0,0,VLOOKUP($A$11,'[1]6.2. отчет'!$D:$FK,156,0))</f>
        <v>0</v>
      </c>
      <c r="M31" s="201"/>
    </row>
    <row r="32" spans="1:13" s="36" customFormat="1" ht="34.5" customHeight="1" x14ac:dyDescent="0.25">
      <c r="A32" s="13" t="s">
        <v>107</v>
      </c>
      <c r="B32" s="7" t="s">
        <v>106</v>
      </c>
      <c r="C32" s="173">
        <f>VLOOKUP($A$11,'[1]6.2. отчет'!$D:$DB,101,0)</f>
        <v>2.3770341666666699</v>
      </c>
      <c r="D32" s="173">
        <v>2.7228680000000001</v>
      </c>
      <c r="E32" s="173">
        <f t="shared" ref="E32:E34" si="4">F32+G32</f>
        <v>2.7228680000000001</v>
      </c>
      <c r="F32" s="173">
        <v>0</v>
      </c>
      <c r="G32" s="173">
        <f>VLOOKUP($A$11,'[1]6.2. отчет'!$D:$FK,112,0)</f>
        <v>2.7228680000000001</v>
      </c>
      <c r="H32" s="173">
        <v>0</v>
      </c>
      <c r="I32" s="173">
        <v>0</v>
      </c>
      <c r="J32" s="173">
        <f>VLOOKUP($A$11,'[1]6.2. отчет'!$D:$FK,132,0)</f>
        <v>0</v>
      </c>
      <c r="K32" s="173">
        <f>IF(J32=0,0,VLOOKUP($A$11,'[1]6.2. отчет'!$D:$FK,157,0))</f>
        <v>0</v>
      </c>
      <c r="M32" s="201"/>
    </row>
    <row r="33" spans="1:13" s="36" customFormat="1" ht="20.25" customHeight="1" x14ac:dyDescent="0.25">
      <c r="A33" s="13" t="s">
        <v>105</v>
      </c>
      <c r="B33" s="7" t="s">
        <v>104</v>
      </c>
      <c r="C33" s="173">
        <f>VLOOKUP($A$11,'[1]6.2. отчет'!$D:$DB,102,0)</f>
        <v>0</v>
      </c>
      <c r="D33" s="173">
        <v>0</v>
      </c>
      <c r="E33" s="173">
        <f t="shared" si="4"/>
        <v>0</v>
      </c>
      <c r="F33" s="173">
        <v>0</v>
      </c>
      <c r="G33" s="173">
        <f>VLOOKUP($A$11,'[1]6.2. отчет'!$D:$FK,113,0)</f>
        <v>0</v>
      </c>
      <c r="H33" s="173">
        <v>0</v>
      </c>
      <c r="I33" s="173">
        <v>0</v>
      </c>
      <c r="J33" s="173">
        <f>VLOOKUP($A$11,'[1]6.2. отчет'!$D:$FK,133,0)</f>
        <v>0</v>
      </c>
      <c r="K33" s="173">
        <f>IF(J33=0,0,VLOOKUP($A$11,'[1]6.2. отчет'!$D:$FK,158,0))</f>
        <v>0</v>
      </c>
      <c r="M33" s="201"/>
    </row>
    <row r="34" spans="1:13" s="36" customFormat="1" ht="17.25" customHeight="1" x14ac:dyDescent="0.25">
      <c r="A34" s="13" t="s">
        <v>103</v>
      </c>
      <c r="B34" s="7" t="s">
        <v>102</v>
      </c>
      <c r="C34" s="173">
        <f>VLOOKUP($A$11,'[1]6.2. отчет'!$D:$DB,103,0)</f>
        <v>0.73491839999999642</v>
      </c>
      <c r="D34" s="173">
        <v>0</v>
      </c>
      <c r="E34" s="173">
        <f t="shared" si="4"/>
        <v>0.41117726666666643</v>
      </c>
      <c r="F34" s="173">
        <v>0.41117726666666643</v>
      </c>
      <c r="G34" s="173">
        <f>VLOOKUP($A$11,'[1]6.2. отчет'!$D:$FK,114,0)</f>
        <v>0</v>
      </c>
      <c r="H34" s="173">
        <v>0</v>
      </c>
      <c r="I34" s="173">
        <v>0</v>
      </c>
      <c r="J34" s="173">
        <v>0</v>
      </c>
      <c r="K34" s="173">
        <f>IF(J34=0,0,VLOOKUP($A$11,'[1]6.2. отчет'!$D:$FK,159,0))</f>
        <v>0</v>
      </c>
      <c r="M34" s="201"/>
    </row>
    <row r="35" spans="1:13" s="96" customFormat="1" ht="31.5" x14ac:dyDescent="0.25">
      <c r="A35" s="13" t="s">
        <v>51</v>
      </c>
      <c r="B35" s="12" t="s">
        <v>101</v>
      </c>
      <c r="C35" s="173"/>
      <c r="D35" s="173"/>
      <c r="E35" s="173"/>
      <c r="F35" s="173"/>
      <c r="G35" s="173"/>
      <c r="H35" s="173"/>
      <c r="I35" s="174"/>
      <c r="J35" s="173"/>
      <c r="K35" s="174"/>
    </row>
    <row r="36" spans="1:13" s="36" customFormat="1" ht="31.5" x14ac:dyDescent="0.25">
      <c r="A36" s="11" t="s">
        <v>100</v>
      </c>
      <c r="B36" s="59" t="s">
        <v>99</v>
      </c>
      <c r="C36" s="173">
        <f>IF('1. паспорт местоположение'!$C$22="Прочие инвестиционные проекты",0,VLOOKUP($A$11,'[1]6.2. отчет'!$D:$FX,168,0))</f>
        <v>0</v>
      </c>
      <c r="D36" s="202">
        <v>0</v>
      </c>
      <c r="E36" s="173">
        <f>F36+G36</f>
        <v>0</v>
      </c>
      <c r="F36" s="173">
        <v>0</v>
      </c>
      <c r="G36" s="173">
        <f>IF('1. паспорт местоположение'!$C$22="Прочие инвестиционные проекты",0,VLOOKUP($A$11,'[1]6.2. отчет'!$D:$GJ,180,0))</f>
        <v>0</v>
      </c>
      <c r="H36" s="173">
        <f>IF('1. паспорт местоположение'!$C$22="Прочие инвестиционные проекты",0,VLOOKUP($A$11,'[1]6.2. отчет'!$D:$AGO,191,0))</f>
        <v>0</v>
      </c>
      <c r="I36" s="173">
        <f>IF('1. паспорт местоположение'!$C$22="Прочие инвестиционные проекты",0,VLOOKUP($A$11,'[1]6.2. отчет'!$D:$AGO,246,0))</f>
        <v>0</v>
      </c>
      <c r="J36" s="173">
        <f>IF('1. паспорт местоположение'!$C$22="Прочие инвестиционные проекты",0,VLOOKUP($A$11,'[1]6.2. отчет'!$D:$AGO,257,0))</f>
        <v>0</v>
      </c>
      <c r="K36" s="173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9" t="s">
        <v>88</v>
      </c>
      <c r="C37" s="173">
        <f>IF('1. паспорт местоположение'!$C$22="Прочие инвестиционные проекты",0,VLOOKUP($A$11,'[1]6.2. отчет'!$D:$FX,169,0))</f>
        <v>0</v>
      </c>
      <c r="D37" s="202">
        <f>VLOOKUP($A$11,'[1]6.2. отчет'!$D:$OZ,410,0)</f>
        <v>0</v>
      </c>
      <c r="E37" s="173">
        <f t="shared" ref="E37:E42" si="5">F37+G37</f>
        <v>0</v>
      </c>
      <c r="F37" s="173">
        <v>0</v>
      </c>
      <c r="G37" s="173">
        <f>IF('1. паспорт местоположение'!$C$22="Прочие инвестиционные проекты",0,VLOOKUP($A$11,'[1]6.2. отчет'!$D:$GJ,181,0))</f>
        <v>0</v>
      </c>
      <c r="H37" s="173">
        <f>IF('1. паспорт местоположение'!$C$22="Прочие инвестиционные проекты",0,VLOOKUP($A$11,'[1]6.2. отчет'!$D:$AGO,192,0))</f>
        <v>0</v>
      </c>
      <c r="I37" s="173">
        <f>IF('1. паспорт местоположение'!$C$22="Прочие инвестиционные проекты",0,VLOOKUP($A$11,'[1]6.2. отчет'!$D:$AGO,247,0))</f>
        <v>0</v>
      </c>
      <c r="J37" s="173">
        <f>IF('1. паспорт местоположение'!$C$22="Прочие инвестиционные проекты",0,VLOOKUP($A$11,'[1]6.2. отчет'!$D:$AGO,258,0))</f>
        <v>0</v>
      </c>
      <c r="K37" s="173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9" t="s">
        <v>86</v>
      </c>
      <c r="C38" s="173">
        <f>IF('1. паспорт местоположение'!$C$22="Прочие инвестиционные проекты",0,VLOOKUP($A$11,'[1]6.2. отчет'!$D:$FX,170,0))</f>
        <v>0</v>
      </c>
      <c r="D38" s="202">
        <f>VLOOKUP($A$11,'[1]6.2. отчет'!$D:$OZ,411,0)</f>
        <v>0</v>
      </c>
      <c r="E38" s="173">
        <f t="shared" si="5"/>
        <v>0</v>
      </c>
      <c r="F38" s="173">
        <v>0</v>
      </c>
      <c r="G38" s="173">
        <f>IF('1. паспорт местоположение'!$C$22="Прочие инвестиционные проекты",0,VLOOKUP($A$11,'[1]6.2. отчет'!$D:$GJ,182,0))</f>
        <v>0</v>
      </c>
      <c r="H38" s="173">
        <f>IF('1. паспорт местоположение'!$C$22="Прочие инвестиционные проекты",0,VLOOKUP($A$11,'[1]6.2. отчет'!$D:$AGO,193,0))</f>
        <v>0</v>
      </c>
      <c r="I38" s="173">
        <f>IF('1. паспорт местоположение'!$C$22="Прочие инвестиционные проекты",0,VLOOKUP($A$11,'[1]6.2. отчет'!$D:$AGO,248,0))</f>
        <v>0</v>
      </c>
      <c r="J38" s="173">
        <f>IF('1. паспорт местоположение'!$C$22="Прочие инвестиционные проекты",0,VLOOKUP($A$11,'[1]6.2. отчет'!$D:$AGO,259,0))</f>
        <v>0</v>
      </c>
      <c r="K38" s="173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73">
        <f>IF('1. паспорт местоположение'!$C$22="Прочие инвестиционные проекты",0,VLOOKUP($A$11,'[1]6.2. отчет'!$D:$FX,172,0))</f>
        <v>0</v>
      </c>
      <c r="D39" s="202">
        <f>VLOOKUP($A$11,'[1]6.2. отчет'!$D:$OZ,409,0)</f>
        <v>0</v>
      </c>
      <c r="E39" s="173">
        <f t="shared" si="5"/>
        <v>0</v>
      </c>
      <c r="F39" s="173">
        <v>0</v>
      </c>
      <c r="G39" s="173">
        <f>IF('1. паспорт местоположение'!$C$22="Прочие инвестиционные проекты",0,VLOOKUP($A$11,'[1]6.2. отчет'!$D:$GJ,184,0))</f>
        <v>0</v>
      </c>
      <c r="H39" s="173">
        <f>IF('1. паспорт местоположение'!$C$22="Прочие инвестиционные проекты",0,VLOOKUP($A$11,'[1]6.2. отчет'!$D:$AGO,195,0))</f>
        <v>0</v>
      </c>
      <c r="I39" s="173">
        <f>IF('1. паспорт местоположение'!$C$22="Прочие инвестиционные проекты",0,VLOOKUP($A$11,'[1]6.2. отчет'!$D:$AGO,250,0))</f>
        <v>0</v>
      </c>
      <c r="J39" s="173">
        <f>IF('1. паспорт местоположение'!$C$22="Прочие инвестиционные проекты",0,VLOOKUP($A$11,'[1]6.2. отчет'!$D:$AGO,261,0))</f>
        <v>0</v>
      </c>
      <c r="K39" s="173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73">
        <f>IF('1. паспорт местоположение'!$C$22="Прочие инвестиционные проекты",0,VLOOKUP($A$11,'[1]6.2. отчет'!$D:$FX,173,0))</f>
        <v>0</v>
      </c>
      <c r="D40" s="202">
        <v>0</v>
      </c>
      <c r="E40" s="173">
        <f t="shared" si="5"/>
        <v>0</v>
      </c>
      <c r="F40" s="173">
        <v>0</v>
      </c>
      <c r="G40" s="173">
        <f>IF('1. паспорт местоположение'!$C$22="Прочие инвестиционные проекты",0,VLOOKUP($A$11,'[1]6.2. отчет'!$D:$GJ,185,0))</f>
        <v>0</v>
      </c>
      <c r="H40" s="173">
        <f>IF('1. паспорт местоположение'!$C$22="Прочие инвестиционные проекты",0,VLOOKUP($A$11,'[1]6.2. отчет'!$D:$AGO,196,0))</f>
        <v>0</v>
      </c>
      <c r="I40" s="173">
        <f>IF('1. паспорт местоположение'!$C$22="Прочие инвестиционные проекты",0,VLOOKUP($A$11,'[1]6.2. отчет'!$D:$AGO,251,0))</f>
        <v>0</v>
      </c>
      <c r="J40" s="173">
        <f>IF('1. паспорт местоположение'!$C$22="Прочие инвестиционные проекты",0,VLOOKUP($A$11,'[1]6.2. отчет'!$D:$AGO,262,0))</f>
        <v>0</v>
      </c>
      <c r="K40" s="173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73">
        <f>IF('1. паспорт местоположение'!$C$22="Прочие инвестиционные проекты",0,VLOOKUP($A$11,'[1]6.2. отчет'!$D:$FX,174,0))</f>
        <v>0.46</v>
      </c>
      <c r="D41" s="202">
        <v>0</v>
      </c>
      <c r="E41" s="173">
        <f t="shared" si="5"/>
        <v>0.46</v>
      </c>
      <c r="F41" s="173">
        <v>0.46</v>
      </c>
      <c r="G41" s="173">
        <f>IF('1. паспорт местоположение'!$C$22="Прочие инвестиционные проекты",0,VLOOKUP($A$11,'[1]6.2. отчет'!$D:$GJ,186,0))</f>
        <v>0</v>
      </c>
      <c r="H41" s="173">
        <f>IF('1. паспорт местоположение'!$C$22="Прочие инвестиционные проекты",0,VLOOKUP($A$11,'[1]6.2. отчет'!$D:$AGO,197,0))</f>
        <v>0.46</v>
      </c>
      <c r="I41" s="173">
        <f>IF('1. паспорт местоположение'!$C$22="Прочие инвестиционные проекты",0,VLOOKUP($A$11,'[1]6.2. отчет'!$D:$AGO,252,0))</f>
        <v>0</v>
      </c>
      <c r="J41" s="173">
        <f>IF('1. паспорт местоположение'!$C$22="Прочие инвестиционные проекты",0,VLOOKUP($A$11,'[1]6.2. отчет'!$D:$AGO,263,0))</f>
        <v>0</v>
      </c>
      <c r="K41" s="173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9" t="s">
        <v>448</v>
      </c>
      <c r="C42" s="173">
        <f>IF('1. паспорт местоположение'!$C$22="Прочие инвестиционные проекты",0,VLOOKUP($A$11,'[1]6.2. отчет'!$D:$FX,177,0))</f>
        <v>0</v>
      </c>
      <c r="D42" s="202">
        <f>VLOOKUP($A$11,'[1]6.2. отчет'!$D:$OZ,412,0)</f>
        <v>0</v>
      </c>
      <c r="E42" s="173">
        <f t="shared" si="5"/>
        <v>0</v>
      </c>
      <c r="F42" s="173">
        <v>0</v>
      </c>
      <c r="G42" s="173">
        <f>IF('1. паспорт местоположение'!$C$22="Прочие инвестиционные проекты",0,VLOOKUP($A$11,'[1]6.2. отчет'!$D:$GJ,189,0))</f>
        <v>0</v>
      </c>
      <c r="H42" s="173">
        <f>IF('1. паспорт местоположение'!$C$22="Прочие инвестиционные проекты",0,VLOOKUP($A$11,'[1]6.2. отчет'!$D:$AGO,200,0))</f>
        <v>0</v>
      </c>
      <c r="I42" s="173">
        <f>IF('1. паспорт местоположение'!$C$22="Прочие инвестиционные проекты",0,VLOOKUP($A$11,'[1]6.2. отчет'!$D:$AGO,255,0))</f>
        <v>0</v>
      </c>
      <c r="J42" s="173">
        <f>IF('1. паспорт местоположение'!$C$22="Прочие инвестиционные проекты",0,VLOOKUP($A$11,'[1]6.2. отчет'!$D:$AGO,266,0))</f>
        <v>0</v>
      </c>
      <c r="K42" s="173">
        <f>IF('1. паспорт местоположение'!$C$22="Прочие инвестиционные проекты",0,VLOOKUP($A$11,'[1]6.2. отчет'!$D:$AGO,321,0))</f>
        <v>0</v>
      </c>
    </row>
    <row r="43" spans="1:13" s="96" customFormat="1" ht="26.25" customHeight="1" x14ac:dyDescent="0.25">
      <c r="A43" s="13" t="s">
        <v>50</v>
      </c>
      <c r="B43" s="12" t="s">
        <v>92</v>
      </c>
      <c r="C43" s="173"/>
      <c r="D43" s="202"/>
      <c r="E43" s="173"/>
      <c r="F43" s="173"/>
      <c r="G43" s="173"/>
      <c r="H43" s="173"/>
      <c r="I43" s="174"/>
      <c r="J43" s="173"/>
      <c r="K43" s="174"/>
    </row>
    <row r="44" spans="1:13" s="36" customFormat="1" x14ac:dyDescent="0.25">
      <c r="A44" s="11" t="s">
        <v>91</v>
      </c>
      <c r="B44" s="7" t="s">
        <v>90</v>
      </c>
      <c r="C44" s="173">
        <f>VLOOKUP($A$11,'[1]6.2. отчет'!$D:$FX,168,0)</f>
        <v>0</v>
      </c>
      <c r="D44" s="202">
        <v>0</v>
      </c>
      <c r="E44" s="173">
        <f t="shared" ref="E44:E50" si="6">F44+G44</f>
        <v>0</v>
      </c>
      <c r="F44" s="173">
        <v>0</v>
      </c>
      <c r="G44" s="173">
        <f>VLOOKUP($A$11,'[1]6.2. отчет'!$D:$GJ,180,0)</f>
        <v>0</v>
      </c>
      <c r="H44" s="173">
        <f>VLOOKUP($A$11,'[1]6.2. отчет'!$D:$AGO,191,0)</f>
        <v>0</v>
      </c>
      <c r="I44" s="173">
        <f>VLOOKUP($A$11,'[1]6.2. отчет'!$D:$AGO,246,0)</f>
        <v>0</v>
      </c>
      <c r="J44" s="173">
        <f>VLOOKUP($A$11,'[1]6.2. отчет'!$D:$AGO,257,0)</f>
        <v>0</v>
      </c>
      <c r="K44" s="173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73">
        <f>VLOOKUP($A$11,'[1]6.2. отчет'!$D:$FX,169,0)</f>
        <v>0</v>
      </c>
      <c r="D45" s="202">
        <f>VLOOKUP($A$11,'[1]6.2. отчет'!$D:$OZ,410,0)</f>
        <v>0</v>
      </c>
      <c r="E45" s="173">
        <f t="shared" si="6"/>
        <v>0</v>
      </c>
      <c r="F45" s="173">
        <v>0</v>
      </c>
      <c r="G45" s="173">
        <f>VLOOKUP($A$11,'[1]6.2. отчет'!$D:$GJ,181,0)</f>
        <v>0</v>
      </c>
      <c r="H45" s="173">
        <f>VLOOKUP($A$11,'[1]6.2. отчет'!$D:$AGO,192,0)</f>
        <v>0</v>
      </c>
      <c r="I45" s="173">
        <f>VLOOKUP($A$11,'[1]6.2. отчет'!$D:$AGO,247,0)</f>
        <v>0</v>
      </c>
      <c r="J45" s="173">
        <f>VLOOKUP($A$11,'[1]6.2. отчет'!$D:$AGO,258,0)</f>
        <v>0</v>
      </c>
      <c r="K45" s="173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73">
        <f>VLOOKUP($A$11,'[1]6.2. отчет'!$D:$FX,170,0)</f>
        <v>0</v>
      </c>
      <c r="D46" s="202">
        <f>VLOOKUP($A$11,'[1]6.2. отчет'!$D:$OZ,411,0)</f>
        <v>0</v>
      </c>
      <c r="E46" s="173">
        <f t="shared" si="6"/>
        <v>0</v>
      </c>
      <c r="F46" s="173">
        <v>0</v>
      </c>
      <c r="G46" s="173">
        <f>VLOOKUP($A$11,'[1]6.2. отчет'!$D:$GJ,182,0)</f>
        <v>0</v>
      </c>
      <c r="H46" s="173">
        <f>VLOOKUP($A$11,'[1]6.2. отчет'!$D:$AGO,193,0)</f>
        <v>0</v>
      </c>
      <c r="I46" s="173">
        <f>VLOOKUP($A$11,'[1]6.2. отчет'!$D:$AGO,248,0)</f>
        <v>0</v>
      </c>
      <c r="J46" s="173">
        <f>VLOOKUP($A$11,'[1]6.2. отчет'!$D:$AGO,259,0)</f>
        <v>0</v>
      </c>
      <c r="K46" s="173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73">
        <f>VLOOKUP($A$11,'[1]6.2. отчет'!$D:$FX,172,0)</f>
        <v>0</v>
      </c>
      <c r="D47" s="202">
        <f>VLOOKUP($A$11,'[1]6.2. отчет'!$D:$OZ,409,0)</f>
        <v>0</v>
      </c>
      <c r="E47" s="173">
        <f t="shared" si="6"/>
        <v>0</v>
      </c>
      <c r="F47" s="173">
        <v>0</v>
      </c>
      <c r="G47" s="173">
        <f>VLOOKUP($A$11,'[1]6.2. отчет'!$D:$GJ,184,0)</f>
        <v>0</v>
      </c>
      <c r="H47" s="173">
        <f>VLOOKUP($A$11,'[1]6.2. отчет'!$D:$AGO,195,0)</f>
        <v>0</v>
      </c>
      <c r="I47" s="173">
        <f>VLOOKUP($A$11,'[1]6.2. отчет'!$D:$AGO,250,0)</f>
        <v>0</v>
      </c>
      <c r="J47" s="173">
        <f>VLOOKUP($A$11,'[1]6.2. отчет'!$D:$AGO,261,0)</f>
        <v>0</v>
      </c>
      <c r="K47" s="173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73">
        <f>VLOOKUP($A$11,'[1]6.2. отчет'!$D:$FX,173,0)</f>
        <v>0</v>
      </c>
      <c r="D48" s="202">
        <v>0</v>
      </c>
      <c r="E48" s="173">
        <f t="shared" si="6"/>
        <v>0</v>
      </c>
      <c r="F48" s="173">
        <v>0</v>
      </c>
      <c r="G48" s="173">
        <f>VLOOKUP($A$11,'[1]6.2. отчет'!$D:$GJ,185,0)</f>
        <v>0</v>
      </c>
      <c r="H48" s="173">
        <f>VLOOKUP($A$11,'[1]6.2. отчет'!$D:$AGO,196,0)</f>
        <v>0</v>
      </c>
      <c r="I48" s="173">
        <f>VLOOKUP($A$11,'[1]6.2. отчет'!$D:$AGO,251,0)</f>
        <v>0</v>
      </c>
      <c r="J48" s="173">
        <f>VLOOKUP($A$11,'[1]6.2. отчет'!$D:$AGO,262,0)</f>
        <v>0</v>
      </c>
      <c r="K48" s="173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73">
        <f>VLOOKUP($A$11,'[1]6.2. отчет'!$D:$FX,174,0)</f>
        <v>0.46</v>
      </c>
      <c r="D49" s="202">
        <v>0</v>
      </c>
      <c r="E49" s="173">
        <f t="shared" si="6"/>
        <v>0.46</v>
      </c>
      <c r="F49" s="173">
        <v>0.46</v>
      </c>
      <c r="G49" s="173">
        <f>VLOOKUP($A$11,'[1]6.2. отчет'!$D:$GJ,186,0)</f>
        <v>0</v>
      </c>
      <c r="H49" s="173">
        <f>VLOOKUP($A$11,'[1]6.2. отчет'!$D:$AGO,197,0)</f>
        <v>0.46</v>
      </c>
      <c r="I49" s="173">
        <f>VLOOKUP($A$11,'[1]6.2. отчет'!$D:$AGO,252,0)</f>
        <v>0</v>
      </c>
      <c r="J49" s="173">
        <f>VLOOKUP($A$11,'[1]6.2. отчет'!$D:$AGO,263,0)</f>
        <v>0</v>
      </c>
      <c r="K49" s="173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448</v>
      </c>
      <c r="C50" s="173">
        <f>VLOOKUP($A$11,'[1]6.2. отчет'!$D:$FX,175,0)</f>
        <v>0</v>
      </c>
      <c r="D50" s="202">
        <f>VLOOKUP($A$11,'[1]6.2. отчет'!$D:$OZ,412,0)</f>
        <v>0</v>
      </c>
      <c r="E50" s="173">
        <f t="shared" si="6"/>
        <v>0</v>
      </c>
      <c r="F50" s="173">
        <v>0</v>
      </c>
      <c r="G50" s="173">
        <f>VLOOKUP($A$11,'[1]6.2. отчет'!$D:$GJ,187,0)</f>
        <v>0</v>
      </c>
      <c r="H50" s="173">
        <f>VLOOKUP($A$11,'[1]6.2. отчет'!$D:$AGO,198,0)</f>
        <v>0</v>
      </c>
      <c r="I50" s="173">
        <f>VLOOKUP($A$11,'[1]6.2. отчет'!$D:$AGO,253,0)</f>
        <v>0</v>
      </c>
      <c r="J50" s="173">
        <f>VLOOKUP($A$11,'[1]6.2. отчет'!$D:$AGO,264,0)</f>
        <v>0</v>
      </c>
      <c r="K50" s="173">
        <f>VLOOKUP($A$11,'[1]6.2. отчет'!$D:$AGO,319,0)</f>
        <v>0</v>
      </c>
    </row>
    <row r="51" spans="1:11" s="96" customFormat="1" ht="35.25" customHeight="1" x14ac:dyDescent="0.25">
      <c r="A51" s="13" t="s">
        <v>48</v>
      </c>
      <c r="B51" s="12" t="s">
        <v>78</v>
      </c>
      <c r="C51" s="173"/>
      <c r="D51" s="202"/>
      <c r="E51" s="173"/>
      <c r="F51" s="173"/>
      <c r="G51" s="173"/>
      <c r="H51" s="173"/>
      <c r="I51" s="173"/>
      <c r="J51" s="173"/>
      <c r="K51" s="173"/>
    </row>
    <row r="52" spans="1:11" s="36" customFormat="1" ht="26.25" customHeight="1" x14ac:dyDescent="0.25">
      <c r="A52" s="11" t="s">
        <v>77</v>
      </c>
      <c r="B52" s="7" t="s">
        <v>76</v>
      </c>
      <c r="C52" s="173">
        <f>VLOOKUP($A$11,'[1]6.2. отчет'!$D:$FX,167,0)</f>
        <v>3.6719841666666664</v>
      </c>
      <c r="D52" s="202">
        <f>VLOOKUP($A$11,'[1]6.2. отчет'!$D:$OZ,413,0)</f>
        <v>0</v>
      </c>
      <c r="E52" s="173">
        <f t="shared" ref="E52:E57" si="7">F52+G52</f>
        <v>3.6719841666666664</v>
      </c>
      <c r="F52" s="173">
        <v>3.6719841666666664</v>
      </c>
      <c r="G52" s="173">
        <f>VLOOKUP($A$11,'[1]6.2. отчет'!$D:$GJ,179,0)</f>
        <v>0</v>
      </c>
      <c r="H52" s="173">
        <f>VLOOKUP($A$11,'[1]6.2. отчет'!$D:$AGO,190,0)</f>
        <v>3.6719841666666664</v>
      </c>
      <c r="I52" s="173">
        <f>VLOOKUP($A$11,'[1]6.2. отчет'!$D:$AGO,245,0)</f>
        <v>0</v>
      </c>
      <c r="J52" s="173">
        <f>VLOOKUP($A$11,'[1]6.2. отчет'!$D:$AGO,256,0)</f>
        <v>0</v>
      </c>
      <c r="K52" s="173">
        <f>VLOOKUP($A$11,'[1]6.2. отчет'!$D:$AGO,311,0)</f>
        <v>0</v>
      </c>
    </row>
    <row r="53" spans="1:11" s="36" customFormat="1" x14ac:dyDescent="0.25">
      <c r="A53" s="11" t="s">
        <v>75</v>
      </c>
      <c r="B53" s="7" t="s">
        <v>69</v>
      </c>
      <c r="C53" s="173">
        <f>VLOOKUP($A$11,'[1]6.2. отчет'!$D:$FX,168,0)</f>
        <v>0</v>
      </c>
      <c r="D53" s="202">
        <v>0</v>
      </c>
      <c r="E53" s="173">
        <f t="shared" si="7"/>
        <v>0</v>
      </c>
      <c r="F53" s="173">
        <v>0</v>
      </c>
      <c r="G53" s="173">
        <f>VLOOKUP($A$11,'[1]6.2. отчет'!$D:$GJ,180,0)</f>
        <v>0</v>
      </c>
      <c r="H53" s="173">
        <f>VLOOKUP($A$11,'[1]6.2. отчет'!$D:$AGO,191,0)</f>
        <v>0</v>
      </c>
      <c r="I53" s="173">
        <f>VLOOKUP($A$11,'[1]6.2. отчет'!$D:$AGO,246,0)</f>
        <v>0</v>
      </c>
      <c r="J53" s="173">
        <f>VLOOKUP($A$11,'[1]6.2. отчет'!$D:$AGO,257,0)</f>
        <v>0</v>
      </c>
      <c r="K53" s="173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73">
        <f>VLOOKUP($A$11,'[1]6.2. отчет'!$D:$FX,169,0)</f>
        <v>0</v>
      </c>
      <c r="D54" s="202">
        <f>VLOOKUP($A$11,'[1]6.2. отчет'!$D:$OZ,410,0)</f>
        <v>0</v>
      </c>
      <c r="E54" s="173">
        <f t="shared" si="7"/>
        <v>0</v>
      </c>
      <c r="F54" s="173">
        <v>0</v>
      </c>
      <c r="G54" s="173">
        <f>VLOOKUP($A$11,'[1]6.2. отчет'!$D:$GJ,181,0)</f>
        <v>0</v>
      </c>
      <c r="H54" s="173">
        <f>VLOOKUP($A$11,'[1]6.2. отчет'!$D:$AGO,192,0)</f>
        <v>0</v>
      </c>
      <c r="I54" s="173">
        <f>VLOOKUP($A$11,'[1]6.2. отчет'!$D:$AGO,247,0)</f>
        <v>0</v>
      </c>
      <c r="J54" s="173">
        <f>VLOOKUP($A$11,'[1]6.2. отчет'!$D:$AGO,258,0)</f>
        <v>0</v>
      </c>
      <c r="K54" s="173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73">
        <f>VLOOKUP($A$11,'[1]6.2. отчет'!$D:$FX,170,0)</f>
        <v>0</v>
      </c>
      <c r="D55" s="202">
        <f>VLOOKUP($A$11,'[1]6.2. отчет'!$D:$OZ,411,0)</f>
        <v>0</v>
      </c>
      <c r="E55" s="173">
        <f t="shared" si="7"/>
        <v>0</v>
      </c>
      <c r="F55" s="173">
        <v>0</v>
      </c>
      <c r="G55" s="173">
        <f>VLOOKUP($A$11,'[1]6.2. отчет'!$D:$GJ,182,0)</f>
        <v>0</v>
      </c>
      <c r="H55" s="173">
        <f>VLOOKUP($A$11,'[1]6.2. отчет'!$D:$AGO,193,0)</f>
        <v>0</v>
      </c>
      <c r="I55" s="173">
        <f>VLOOKUP($A$11,'[1]6.2. отчет'!$D:$AGO,248,0)</f>
        <v>0</v>
      </c>
      <c r="J55" s="173">
        <f>VLOOKUP($A$11,'[1]6.2. отчет'!$D:$AGO,259,0)</f>
        <v>0</v>
      </c>
      <c r="K55" s="173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73">
        <f>VLOOKUP($A$11,'[1]6.2. отчет'!$D:$FX,171,0)</f>
        <v>0.46</v>
      </c>
      <c r="D56" s="202">
        <f>VLOOKUP($A$11,'[1]6.2. отчет'!$D:$OZ,409,0)</f>
        <v>0</v>
      </c>
      <c r="E56" s="173">
        <f t="shared" si="7"/>
        <v>0.46</v>
      </c>
      <c r="F56" s="173">
        <v>0.46</v>
      </c>
      <c r="G56" s="173">
        <f>VLOOKUP($A$11,'[1]6.2. отчет'!$D:$GJ,183,0)</f>
        <v>0</v>
      </c>
      <c r="H56" s="173">
        <f>VLOOKUP($A$11,'[1]6.2. отчет'!$D:$AGO,194,0)</f>
        <v>0.46</v>
      </c>
      <c r="I56" s="173">
        <f>VLOOKUP($A$11,'[1]6.2. отчет'!$D:$AGO,249,0)</f>
        <v>0</v>
      </c>
      <c r="J56" s="173">
        <f>VLOOKUP($A$11,'[1]6.2. отчет'!$D:$AGO,260,0)</f>
        <v>0</v>
      </c>
      <c r="K56" s="173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448</v>
      </c>
      <c r="C57" s="173">
        <f>VLOOKUP($A$11,'[1]6.2. отчет'!$D:$FX,175,0)</f>
        <v>0</v>
      </c>
      <c r="D57" s="202">
        <f>VLOOKUP($A$11,'[1]6.2. отчет'!$D:$OZ,412,0)</f>
        <v>0</v>
      </c>
      <c r="E57" s="173">
        <f t="shared" si="7"/>
        <v>0</v>
      </c>
      <c r="F57" s="173">
        <v>0</v>
      </c>
      <c r="G57" s="173">
        <f>VLOOKUP($A$11,'[1]6.2. отчет'!$D:$GJ,187,0)</f>
        <v>0</v>
      </c>
      <c r="H57" s="173">
        <f>VLOOKUP($A$11,'[1]6.2. отчет'!$D:$AGO,198,0)</f>
        <v>0</v>
      </c>
      <c r="I57" s="173">
        <f>VLOOKUP($A$11,'[1]6.2. отчет'!$D:$AGO,253,0)</f>
        <v>0</v>
      </c>
      <c r="J57" s="173">
        <f>VLOOKUP($A$11,'[1]6.2. отчет'!$D:$AGO,264,0)</f>
        <v>0</v>
      </c>
      <c r="K57" s="173">
        <f>VLOOKUP($A$11,'[1]6.2. отчет'!$D:$AGO,319,0)</f>
        <v>0</v>
      </c>
    </row>
    <row r="58" spans="1:11" s="96" customFormat="1" ht="36.75" customHeight="1" x14ac:dyDescent="0.25">
      <c r="A58" s="13" t="s">
        <v>47</v>
      </c>
      <c r="B58" s="62" t="s">
        <v>165</v>
      </c>
      <c r="C58" s="173"/>
      <c r="D58" s="173"/>
      <c r="E58" s="173"/>
      <c r="F58" s="173"/>
      <c r="G58" s="173"/>
      <c r="H58" s="173"/>
      <c r="I58" s="173"/>
      <c r="J58" s="173"/>
      <c r="K58" s="173"/>
    </row>
    <row r="59" spans="1:11" s="36" customFormat="1" x14ac:dyDescent="0.25">
      <c r="A59" s="13" t="s">
        <v>45</v>
      </c>
      <c r="B59" s="12" t="s">
        <v>70</v>
      </c>
      <c r="C59" s="173"/>
      <c r="D59" s="173"/>
      <c r="E59" s="173"/>
      <c r="F59" s="173"/>
      <c r="G59" s="173"/>
      <c r="H59" s="173"/>
      <c r="I59" s="173"/>
      <c r="J59" s="173"/>
      <c r="K59" s="173"/>
    </row>
    <row r="60" spans="1:11" s="36" customFormat="1" x14ac:dyDescent="0.25">
      <c r="A60" s="11" t="s">
        <v>159</v>
      </c>
      <c r="B60" s="184" t="s">
        <v>90</v>
      </c>
      <c r="C60" s="173">
        <f>VLOOKUP($A$11,'[1]6.2. отчет'!$D:$AGO,326,0)</f>
        <v>0</v>
      </c>
      <c r="D60" s="173">
        <f t="shared" ref="D60:D64" si="8">J60</f>
        <v>0</v>
      </c>
      <c r="E60" s="173">
        <f t="shared" ref="E60:E64" si="9">F60+G60</f>
        <v>0</v>
      </c>
      <c r="F60" s="173">
        <f t="shared" ref="F60:F64" si="10">C60</f>
        <v>0</v>
      </c>
      <c r="G60" s="173">
        <f>VLOOKUP($A$11,'[1]6.2. отчет'!$D:$AGO,333,0)</f>
        <v>0</v>
      </c>
      <c r="H60" s="173">
        <f>VLOOKUP($A$11,'[1]6.2. отчет'!$D:$AGO,341,0)</f>
        <v>0</v>
      </c>
      <c r="I60" s="173">
        <f>VLOOKUP($A$11,'[1]6.2. отчет'!$D:$AGO,366,0)</f>
        <v>0</v>
      </c>
      <c r="J60" s="173">
        <f>VLOOKUP($A$11,'[1]6.2. отчет'!$D:$AGO,371,0)</f>
        <v>0</v>
      </c>
      <c r="K60" s="173">
        <f>VLOOKUP($A$11,'[1]6.2. отчет'!$D:$AGO,396,0)</f>
        <v>0</v>
      </c>
    </row>
    <row r="61" spans="1:11" s="36" customFormat="1" x14ac:dyDescent="0.25">
      <c r="A61" s="11" t="s">
        <v>160</v>
      </c>
      <c r="B61" s="184" t="s">
        <v>88</v>
      </c>
      <c r="C61" s="173">
        <f>VLOOKUP($A$11,'[1]6.2. отчет'!$D:$AGO,327,0)</f>
        <v>0</v>
      </c>
      <c r="D61" s="173">
        <f t="shared" si="8"/>
        <v>0</v>
      </c>
      <c r="E61" s="173">
        <f t="shared" si="9"/>
        <v>0</v>
      </c>
      <c r="F61" s="173">
        <f t="shared" si="10"/>
        <v>0</v>
      </c>
      <c r="G61" s="173">
        <f>VLOOKUP($A$11,'[1]6.2. отчет'!$D:$AGO,334,0)</f>
        <v>0</v>
      </c>
      <c r="H61" s="173">
        <f>VLOOKUP($A$11,'[1]6.2. отчет'!$D:$AGO,338,0)</f>
        <v>0</v>
      </c>
      <c r="I61" s="173">
        <f>VLOOKUP($A$11,'[1]6.2. отчет'!$D:$AGO,363,0)</f>
        <v>0</v>
      </c>
      <c r="J61" s="173">
        <f>VLOOKUP($A$11,'[1]6.2. отчет'!$D:$AGO,368,0)</f>
        <v>0</v>
      </c>
      <c r="K61" s="173">
        <f>VLOOKUP($A$11,'[1]6.2. отчет'!$D:$AGO,393,0)</f>
        <v>0</v>
      </c>
    </row>
    <row r="62" spans="1:11" s="36" customFormat="1" x14ac:dyDescent="0.25">
      <c r="A62" s="11" t="s">
        <v>161</v>
      </c>
      <c r="B62" s="184" t="s">
        <v>86</v>
      </c>
      <c r="C62" s="173">
        <f>VLOOKUP($A$11,'[1]6.2. отчет'!$D:$AGO,328,0)</f>
        <v>0</v>
      </c>
      <c r="D62" s="173">
        <f t="shared" si="8"/>
        <v>0</v>
      </c>
      <c r="E62" s="173">
        <f t="shared" si="9"/>
        <v>0</v>
      </c>
      <c r="F62" s="173">
        <f t="shared" si="10"/>
        <v>0</v>
      </c>
      <c r="G62" s="173">
        <f>VLOOKUP($A$11,'[1]6.2. отчет'!$D:$AGO,335,0)</f>
        <v>0</v>
      </c>
      <c r="H62" s="173">
        <f>VLOOKUP($A$11,'[1]6.2. отчет'!$D:$AGO,339,0)</f>
        <v>0</v>
      </c>
      <c r="I62" s="173">
        <f>VLOOKUP($A$11,'[1]6.2. отчет'!$D:$AGO,364,0)</f>
        <v>0</v>
      </c>
      <c r="J62" s="173">
        <f>VLOOKUP($A$11,'[1]6.2. отчет'!$D:$AGO,369,0)</f>
        <v>0</v>
      </c>
      <c r="K62" s="173">
        <f>VLOOKUP($A$11,'[1]6.2. отчет'!$D:$AGO,394,0)</f>
        <v>0</v>
      </c>
    </row>
    <row r="63" spans="1:11" s="36" customFormat="1" x14ac:dyDescent="0.25">
      <c r="A63" s="11" t="s">
        <v>162</v>
      </c>
      <c r="B63" s="184" t="s">
        <v>164</v>
      </c>
      <c r="C63" s="173">
        <f>VLOOKUP($A$11,'[1]6.2. отчет'!$D:$AGO,329,0)</f>
        <v>0</v>
      </c>
      <c r="D63" s="173">
        <f t="shared" si="8"/>
        <v>0</v>
      </c>
      <c r="E63" s="173">
        <f t="shared" si="9"/>
        <v>0</v>
      </c>
      <c r="F63" s="173">
        <f t="shared" si="10"/>
        <v>0</v>
      </c>
      <c r="G63" s="173">
        <f>VLOOKUP($A$11,'[1]6.2. отчет'!$D:$AGO,336,0)</f>
        <v>0</v>
      </c>
      <c r="H63" s="173">
        <f>VLOOKUP($A$11,'[1]6.2. отчет'!$D:$AGO,340,0)</f>
        <v>0</v>
      </c>
      <c r="I63" s="173">
        <f>VLOOKUP($A$11,'[1]6.2. отчет'!$D:$AGO,365,0)</f>
        <v>0</v>
      </c>
      <c r="J63" s="173">
        <f>VLOOKUP($A$11,'[1]6.2. отчет'!$D:$AGO,370,0)</f>
        <v>0</v>
      </c>
      <c r="K63" s="173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73">
        <f>VLOOKUP($A$11,'[1]6.2. отчет'!$D:$AGO,330,0)</f>
        <v>0</v>
      </c>
      <c r="D64" s="173">
        <f t="shared" si="8"/>
        <v>0</v>
      </c>
      <c r="E64" s="173">
        <f t="shared" si="9"/>
        <v>0</v>
      </c>
      <c r="F64" s="173">
        <f t="shared" si="10"/>
        <v>0</v>
      </c>
      <c r="G64" s="173">
        <f>VLOOKUP($A$11,'[1]6.2. отчет'!$D:$AGO,337,0)</f>
        <v>0</v>
      </c>
      <c r="H64" s="173">
        <f>VLOOKUP($A$11,'[1]6.2. отчет'!$D:$AGO,342,0)</f>
        <v>0</v>
      </c>
      <c r="I64" s="173">
        <f>VLOOKUP($A$11,'[1]6.2. отчет'!$D:$AGO,367,0)</f>
        <v>0</v>
      </c>
      <c r="J64" s="173">
        <f>VLOOKUP($A$11,'[1]6.2. отчет'!$D:$AGO,372,0)</f>
        <v>0</v>
      </c>
      <c r="K64" s="173">
        <f>VLOOKUP($A$11,'[1]6.2. отчет'!$D:$AGO,396,0)</f>
        <v>0</v>
      </c>
    </row>
    <row r="66" spans="2:11" ht="50.25" customHeight="1" x14ac:dyDescent="0.25">
      <c r="B66" s="288"/>
      <c r="C66" s="288"/>
      <c r="D66" s="288"/>
      <c r="E66" s="288"/>
      <c r="F66" s="288"/>
      <c r="G66" s="288"/>
      <c r="H66" s="288"/>
      <c r="I66" s="288"/>
      <c r="J66" s="288"/>
      <c r="K66" s="288"/>
    </row>
    <row r="68" spans="2:11" ht="36.75" customHeight="1" x14ac:dyDescent="0.25">
      <c r="B68" s="289"/>
      <c r="C68" s="289"/>
      <c r="D68" s="289"/>
      <c r="E68" s="289"/>
      <c r="F68" s="289"/>
      <c r="G68" s="289"/>
      <c r="H68" s="289"/>
      <c r="I68" s="289"/>
      <c r="J68" s="289"/>
      <c r="K68" s="289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9"/>
      <c r="C70" s="289"/>
      <c r="D70" s="289"/>
      <c r="E70" s="289"/>
      <c r="F70" s="289"/>
      <c r="G70" s="289"/>
      <c r="H70" s="289"/>
      <c r="I70" s="289"/>
      <c r="J70" s="289"/>
      <c r="K70" s="289"/>
    </row>
    <row r="71" spans="2:11" ht="32.25" customHeight="1" x14ac:dyDescent="0.25">
      <c r="B71" s="288"/>
      <c r="C71" s="288"/>
      <c r="D71" s="288"/>
      <c r="E71" s="288"/>
      <c r="F71" s="288"/>
      <c r="G71" s="288"/>
      <c r="H71" s="288"/>
      <c r="I71" s="288"/>
      <c r="J71" s="288"/>
      <c r="K71" s="288"/>
    </row>
    <row r="72" spans="2:11" ht="51.75" customHeight="1" x14ac:dyDescent="0.25">
      <c r="B72" s="289"/>
      <c r="C72" s="289"/>
      <c r="D72" s="289"/>
      <c r="E72" s="289"/>
      <c r="F72" s="289"/>
      <c r="G72" s="289"/>
      <c r="H72" s="289"/>
      <c r="I72" s="289"/>
      <c r="J72" s="289"/>
      <c r="K72" s="289"/>
    </row>
    <row r="73" spans="2:11" ht="21.75" customHeigh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7"/>
      <c r="C75" s="287"/>
      <c r="D75" s="287"/>
      <c r="E75" s="287"/>
      <c r="F75" s="287"/>
      <c r="G75" s="287"/>
      <c r="H75" s="287"/>
      <c r="I75" s="287"/>
      <c r="J75" s="287"/>
      <c r="K75" s="287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zoomScale="55" zoomScaleNormal="100" zoomScaleSheetLayoutView="55" workbookViewId="0">
      <selection activeCell="P41" sqref="P41"/>
    </sheetView>
  </sheetViews>
  <sheetFormatPr defaultColWidth="9.140625" defaultRowHeight="15" x14ac:dyDescent="0.25"/>
  <cols>
    <col min="1" max="1" width="6.140625" style="92" customWidth="1"/>
    <col min="2" max="2" width="23.140625" style="92" customWidth="1"/>
    <col min="3" max="3" width="18.28515625" style="92" bestFit="1" customWidth="1"/>
    <col min="4" max="4" width="15.140625" style="92" customWidth="1"/>
    <col min="5" max="12" width="7.7109375" style="92" customWidth="1"/>
    <col min="13" max="13" width="14.5703125" style="92" customWidth="1"/>
    <col min="14" max="15" width="10.7109375" style="92" customWidth="1"/>
    <col min="16" max="17" width="13.42578125" style="92" customWidth="1"/>
    <col min="18" max="18" width="17" style="92" customWidth="1"/>
    <col min="19" max="20" width="9.7109375" style="92" customWidth="1"/>
    <col min="21" max="21" width="11.42578125" style="92" customWidth="1"/>
    <col min="22" max="22" width="12.7109375" style="92" customWidth="1"/>
    <col min="23" max="23" width="19" style="92" customWidth="1"/>
    <col min="24" max="25" width="10.7109375" style="92" customWidth="1"/>
    <col min="26" max="26" width="7.7109375" style="92" customWidth="1"/>
    <col min="27" max="27" width="10.7109375" style="92" customWidth="1"/>
    <col min="28" max="28" width="16.42578125" style="92" customWidth="1"/>
    <col min="29" max="29" width="15" style="92" customWidth="1"/>
    <col min="30" max="30" width="17.140625" style="92" customWidth="1"/>
    <col min="31" max="31" width="15.85546875" style="92" customWidth="1"/>
    <col min="32" max="32" width="32" style="92" customWidth="1"/>
    <col min="33" max="33" width="11.5703125" style="92" customWidth="1"/>
    <col min="34" max="36" width="14.7109375" style="92" customWidth="1"/>
    <col min="37" max="41" width="13.85546875" style="92" customWidth="1"/>
    <col min="42" max="42" width="13.42578125" style="92" customWidth="1"/>
    <col min="43" max="43" width="14" style="92" customWidth="1"/>
    <col min="44" max="44" width="14.140625" style="92" customWidth="1"/>
    <col min="45" max="46" width="13.28515625" style="92" customWidth="1"/>
    <col min="47" max="47" width="10.7109375" style="92" customWidth="1"/>
    <col min="48" max="48" width="55" style="92" customWidth="1"/>
    <col min="49" max="16384" width="9.140625" style="92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</row>
    <row r="6" spans="1:48" ht="18.75" x14ac:dyDescent="0.3">
      <c r="AV6" s="27"/>
    </row>
    <row r="7" spans="1:48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</row>
    <row r="8" spans="1:48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</row>
    <row r="9" spans="1:48" ht="15.75" x14ac:dyDescent="0.25">
      <c r="A9" s="212" t="s">
        <v>286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</row>
    <row r="10" spans="1:48" ht="15.75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</row>
    <row r="11" spans="1:48" ht="18.75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</row>
    <row r="12" spans="1:48" ht="15.75" x14ac:dyDescent="0.25">
      <c r="A12" s="212" t="str">
        <f>'6.2. Паспорт фин осв ввод'!A11:K11</f>
        <v>M_Che425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</row>
    <row r="13" spans="1:48" ht="15.75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212" t="str">
        <f>'6.2. Паспорт фин осв ввод'!A14:K14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</row>
    <row r="16" spans="1:48" ht="15.75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</row>
    <row r="17" spans="1:48" x14ac:dyDescent="0.25">
      <c r="A17" s="300"/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</row>
    <row r="18" spans="1:48" ht="14.25" customHeight="1" x14ac:dyDescent="0.25">
      <c r="A18" s="300"/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  <c r="AI18" s="300"/>
      <c r="AJ18" s="300"/>
      <c r="AK18" s="300"/>
      <c r="AL18" s="300"/>
      <c r="AM18" s="300"/>
      <c r="AN18" s="300"/>
      <c r="AO18" s="300"/>
      <c r="AP18" s="300"/>
      <c r="AQ18" s="300"/>
      <c r="AR18" s="300"/>
      <c r="AS18" s="300"/>
      <c r="AT18" s="300"/>
      <c r="AU18" s="300"/>
      <c r="AV18" s="300"/>
    </row>
    <row r="19" spans="1:48" x14ac:dyDescent="0.25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0"/>
      <c r="AU19" s="300"/>
      <c r="AV19" s="300"/>
    </row>
    <row r="20" spans="1:48" x14ac:dyDescent="0.25">
      <c r="A20" s="300"/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</row>
    <row r="21" spans="1:48" x14ac:dyDescent="0.25">
      <c r="A21" s="304" t="s">
        <v>276</v>
      </c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  <c r="AJ21" s="304"/>
      <c r="AK21" s="304"/>
      <c r="AL21" s="304"/>
      <c r="AM21" s="304"/>
      <c r="AN21" s="304"/>
      <c r="AO21" s="304"/>
      <c r="AP21" s="304"/>
      <c r="AQ21" s="304"/>
      <c r="AR21" s="304"/>
      <c r="AS21" s="304"/>
      <c r="AT21" s="304"/>
      <c r="AU21" s="304"/>
      <c r="AV21" s="304"/>
    </row>
    <row r="22" spans="1:48" s="93" customFormat="1" ht="58.5" customHeight="1" x14ac:dyDescent="0.25">
      <c r="A22" s="305" t="s">
        <v>41</v>
      </c>
      <c r="B22" s="308" t="s">
        <v>14</v>
      </c>
      <c r="C22" s="305" t="s">
        <v>40</v>
      </c>
      <c r="D22" s="305" t="s">
        <v>39</v>
      </c>
      <c r="E22" s="311" t="s">
        <v>282</v>
      </c>
      <c r="F22" s="312"/>
      <c r="G22" s="312"/>
      <c r="H22" s="312"/>
      <c r="I22" s="312"/>
      <c r="J22" s="312"/>
      <c r="K22" s="312"/>
      <c r="L22" s="313"/>
      <c r="M22" s="305" t="s">
        <v>38</v>
      </c>
      <c r="N22" s="305" t="s">
        <v>37</v>
      </c>
      <c r="O22" s="305" t="s">
        <v>36</v>
      </c>
      <c r="P22" s="301" t="s">
        <v>168</v>
      </c>
      <c r="Q22" s="301" t="s">
        <v>35</v>
      </c>
      <c r="R22" s="301" t="s">
        <v>34</v>
      </c>
      <c r="S22" s="301" t="s">
        <v>33</v>
      </c>
      <c r="T22" s="301"/>
      <c r="U22" s="314" t="s">
        <v>32</v>
      </c>
      <c r="V22" s="314" t="s">
        <v>31</v>
      </c>
      <c r="W22" s="301" t="s">
        <v>30</v>
      </c>
      <c r="X22" s="301" t="s">
        <v>29</v>
      </c>
      <c r="Y22" s="301" t="s">
        <v>28</v>
      </c>
      <c r="Z22" s="315" t="s">
        <v>27</v>
      </c>
      <c r="AA22" s="301" t="s">
        <v>26</v>
      </c>
      <c r="AB22" s="301" t="s">
        <v>25</v>
      </c>
      <c r="AC22" s="301" t="s">
        <v>24</v>
      </c>
      <c r="AD22" s="301" t="s">
        <v>23</v>
      </c>
      <c r="AE22" s="301" t="s">
        <v>22</v>
      </c>
      <c r="AF22" s="301" t="s">
        <v>21</v>
      </c>
      <c r="AG22" s="301"/>
      <c r="AH22" s="301"/>
      <c r="AI22" s="301"/>
      <c r="AJ22" s="301"/>
      <c r="AK22" s="301"/>
      <c r="AL22" s="316" t="s">
        <v>457</v>
      </c>
      <c r="AM22" s="316"/>
      <c r="AN22" s="316"/>
      <c r="AO22" s="316"/>
      <c r="AP22" s="301" t="s">
        <v>20</v>
      </c>
      <c r="AQ22" s="301"/>
      <c r="AR22" s="301" t="s">
        <v>19</v>
      </c>
      <c r="AS22" s="301" t="s">
        <v>18</v>
      </c>
      <c r="AT22" s="301" t="s">
        <v>17</v>
      </c>
      <c r="AU22" s="301" t="s">
        <v>16</v>
      </c>
      <c r="AV22" s="301" t="s">
        <v>15</v>
      </c>
    </row>
    <row r="23" spans="1:48" s="93" customFormat="1" ht="64.5" customHeight="1" x14ac:dyDescent="0.25">
      <c r="A23" s="306"/>
      <c r="B23" s="309"/>
      <c r="C23" s="306"/>
      <c r="D23" s="306"/>
      <c r="E23" s="302" t="s">
        <v>13</v>
      </c>
      <c r="F23" s="321" t="s">
        <v>69</v>
      </c>
      <c r="G23" s="321" t="s">
        <v>68</v>
      </c>
      <c r="H23" s="321" t="s">
        <v>67</v>
      </c>
      <c r="I23" s="323" t="s">
        <v>221</v>
      </c>
      <c r="J23" s="323" t="s">
        <v>222</v>
      </c>
      <c r="K23" s="323" t="s">
        <v>223</v>
      </c>
      <c r="L23" s="321" t="s">
        <v>64</v>
      </c>
      <c r="M23" s="306"/>
      <c r="N23" s="306"/>
      <c r="O23" s="306"/>
      <c r="P23" s="301"/>
      <c r="Q23" s="301"/>
      <c r="R23" s="301"/>
      <c r="S23" s="305" t="s">
        <v>0</v>
      </c>
      <c r="T23" s="305" t="s">
        <v>7</v>
      </c>
      <c r="U23" s="314"/>
      <c r="V23" s="314"/>
      <c r="W23" s="301"/>
      <c r="X23" s="301"/>
      <c r="Y23" s="301"/>
      <c r="Z23" s="301"/>
      <c r="AA23" s="301"/>
      <c r="AB23" s="301"/>
      <c r="AC23" s="301"/>
      <c r="AD23" s="301"/>
      <c r="AE23" s="301"/>
      <c r="AF23" s="301" t="s">
        <v>12</v>
      </c>
      <c r="AG23" s="301"/>
      <c r="AH23" s="316" t="s">
        <v>458</v>
      </c>
      <c r="AI23" s="316"/>
      <c r="AJ23" s="319" t="s">
        <v>459</v>
      </c>
      <c r="AK23" s="305" t="s">
        <v>11</v>
      </c>
      <c r="AL23" s="319" t="s">
        <v>460</v>
      </c>
      <c r="AM23" s="319" t="s">
        <v>461</v>
      </c>
      <c r="AN23" s="319" t="s">
        <v>462</v>
      </c>
      <c r="AO23" s="319" t="s">
        <v>463</v>
      </c>
      <c r="AP23" s="305" t="s">
        <v>10</v>
      </c>
      <c r="AQ23" s="317" t="s">
        <v>7</v>
      </c>
      <c r="AR23" s="301"/>
      <c r="AS23" s="301"/>
      <c r="AT23" s="301"/>
      <c r="AU23" s="301"/>
      <c r="AV23" s="301"/>
    </row>
    <row r="24" spans="1:48" s="93" customFormat="1" ht="96.75" customHeight="1" x14ac:dyDescent="0.25">
      <c r="A24" s="307"/>
      <c r="B24" s="310"/>
      <c r="C24" s="307"/>
      <c r="D24" s="307"/>
      <c r="E24" s="303"/>
      <c r="F24" s="322"/>
      <c r="G24" s="322"/>
      <c r="H24" s="322"/>
      <c r="I24" s="324"/>
      <c r="J24" s="324"/>
      <c r="K24" s="324"/>
      <c r="L24" s="322"/>
      <c r="M24" s="307"/>
      <c r="N24" s="307"/>
      <c r="O24" s="307"/>
      <c r="P24" s="301"/>
      <c r="Q24" s="301"/>
      <c r="R24" s="301"/>
      <c r="S24" s="307"/>
      <c r="T24" s="307"/>
      <c r="U24" s="314"/>
      <c r="V24" s="314"/>
      <c r="W24" s="301"/>
      <c r="X24" s="301"/>
      <c r="Y24" s="301"/>
      <c r="Z24" s="301"/>
      <c r="AA24" s="301"/>
      <c r="AB24" s="301"/>
      <c r="AC24" s="301"/>
      <c r="AD24" s="301"/>
      <c r="AE24" s="301"/>
      <c r="AF24" s="94" t="s">
        <v>9</v>
      </c>
      <c r="AG24" s="94" t="s">
        <v>8</v>
      </c>
      <c r="AH24" s="168" t="s">
        <v>0</v>
      </c>
      <c r="AI24" s="168" t="s">
        <v>7</v>
      </c>
      <c r="AJ24" s="320"/>
      <c r="AK24" s="307"/>
      <c r="AL24" s="320"/>
      <c r="AM24" s="320"/>
      <c r="AN24" s="320"/>
      <c r="AO24" s="320"/>
      <c r="AP24" s="307"/>
      <c r="AQ24" s="318"/>
      <c r="AR24" s="301"/>
      <c r="AS24" s="301"/>
      <c r="AT24" s="301"/>
      <c r="AU24" s="301"/>
      <c r="AV24" s="301"/>
    </row>
    <row r="25" spans="1:48" s="93" customFormat="1" x14ac:dyDescent="0.25">
      <c r="A25" s="95">
        <v>1</v>
      </c>
      <c r="B25" s="95">
        <v>2</v>
      </c>
      <c r="C25" s="95">
        <v>4</v>
      </c>
      <c r="D25" s="95">
        <v>5</v>
      </c>
      <c r="E25" s="95">
        <v>6</v>
      </c>
      <c r="F25" s="95">
        <v>7</v>
      </c>
      <c r="G25" s="95">
        <v>8</v>
      </c>
      <c r="H25" s="95">
        <v>9</v>
      </c>
      <c r="I25" s="95">
        <v>10</v>
      </c>
      <c r="J25" s="95">
        <v>11</v>
      </c>
      <c r="K25" s="95">
        <v>12</v>
      </c>
      <c r="L25" s="95">
        <v>13</v>
      </c>
      <c r="M25" s="95">
        <v>14</v>
      </c>
      <c r="N25" s="95">
        <v>15</v>
      </c>
      <c r="O25" s="95">
        <v>16</v>
      </c>
      <c r="P25" s="95">
        <v>17</v>
      </c>
      <c r="Q25" s="95">
        <v>18</v>
      </c>
      <c r="R25" s="95">
        <v>19</v>
      </c>
      <c r="S25" s="95">
        <v>20</v>
      </c>
      <c r="T25" s="95">
        <v>21</v>
      </c>
      <c r="U25" s="95">
        <v>22</v>
      </c>
      <c r="V25" s="95">
        <v>23</v>
      </c>
      <c r="W25" s="95">
        <v>24</v>
      </c>
      <c r="X25" s="95">
        <v>25</v>
      </c>
      <c r="Y25" s="95">
        <v>26</v>
      </c>
      <c r="Z25" s="95">
        <v>27</v>
      </c>
      <c r="AA25" s="95">
        <v>28</v>
      </c>
      <c r="AB25" s="95">
        <v>29</v>
      </c>
      <c r="AC25" s="95">
        <v>30</v>
      </c>
      <c r="AD25" s="95">
        <v>31</v>
      </c>
      <c r="AE25" s="95">
        <v>32</v>
      </c>
      <c r="AF25" s="95">
        <v>33</v>
      </c>
      <c r="AG25" s="95">
        <v>34</v>
      </c>
      <c r="AH25" s="95">
        <v>35</v>
      </c>
      <c r="AI25" s="95">
        <v>36</v>
      </c>
      <c r="AJ25" s="95">
        <v>37</v>
      </c>
      <c r="AK25" s="95">
        <v>38</v>
      </c>
      <c r="AL25" s="95">
        <v>39</v>
      </c>
      <c r="AM25" s="95">
        <v>40</v>
      </c>
      <c r="AN25" s="95">
        <v>41</v>
      </c>
      <c r="AO25" s="95">
        <v>42</v>
      </c>
      <c r="AP25" s="95">
        <v>43</v>
      </c>
      <c r="AQ25" s="95">
        <v>44</v>
      </c>
      <c r="AR25" s="95">
        <v>45</v>
      </c>
      <c r="AS25" s="95">
        <v>46</v>
      </c>
      <c r="AT25" s="95">
        <v>47</v>
      </c>
      <c r="AU25" s="95">
        <v>48</v>
      </c>
      <c r="AV25" s="95">
        <v>49</v>
      </c>
    </row>
    <row r="26" spans="1:48" s="199" customFormat="1" ht="104.25" customHeight="1" x14ac:dyDescent="0.25">
      <c r="A26" s="188">
        <v>1</v>
      </c>
      <c r="B26" s="298" t="s">
        <v>286</v>
      </c>
      <c r="C26" s="298" t="s">
        <v>477</v>
      </c>
      <c r="D26" s="299" t="s">
        <v>512</v>
      </c>
      <c r="E26" s="291">
        <v>0</v>
      </c>
      <c r="F26" s="291">
        <v>0</v>
      </c>
      <c r="G26" s="291">
        <v>0</v>
      </c>
      <c r="H26" s="291">
        <v>0</v>
      </c>
      <c r="I26" s="291">
        <v>0</v>
      </c>
      <c r="J26" s="291">
        <v>0</v>
      </c>
      <c r="K26" s="291">
        <v>0.46</v>
      </c>
      <c r="L26" s="291">
        <v>0</v>
      </c>
      <c r="M26" s="188" t="s">
        <v>467</v>
      </c>
      <c r="N26" s="189" t="s">
        <v>467</v>
      </c>
      <c r="O26" s="293" t="s">
        <v>468</v>
      </c>
      <c r="P26" s="190">
        <v>10288.518</v>
      </c>
      <c r="Q26" s="188" t="s">
        <v>451</v>
      </c>
      <c r="R26" s="190">
        <v>10288.518</v>
      </c>
      <c r="S26" s="188" t="s">
        <v>452</v>
      </c>
      <c r="T26" s="188" t="s">
        <v>452</v>
      </c>
      <c r="U26" s="188">
        <v>2</v>
      </c>
      <c r="V26" s="188">
        <v>2</v>
      </c>
      <c r="W26" s="189" t="s">
        <v>469</v>
      </c>
      <c r="X26" s="191" t="s">
        <v>470</v>
      </c>
      <c r="Y26" s="192" t="s">
        <v>289</v>
      </c>
      <c r="Z26" s="193" t="s">
        <v>471</v>
      </c>
      <c r="AA26" s="193" t="s">
        <v>471</v>
      </c>
      <c r="AB26" s="190">
        <v>10126.11</v>
      </c>
      <c r="AC26" s="189" t="s">
        <v>472</v>
      </c>
      <c r="AD26" s="194">
        <v>12151.334999999999</v>
      </c>
      <c r="AE26" s="194"/>
      <c r="AF26" s="189">
        <v>32110356559</v>
      </c>
      <c r="AG26" s="195" t="s">
        <v>473</v>
      </c>
      <c r="AH26" s="196">
        <v>44351</v>
      </c>
      <c r="AI26" s="196">
        <v>44351</v>
      </c>
      <c r="AJ26" s="196">
        <v>44363</v>
      </c>
      <c r="AK26" s="196">
        <v>44393</v>
      </c>
      <c r="AL26" s="295" t="s">
        <v>464</v>
      </c>
      <c r="AM26" s="296"/>
      <c r="AN26" s="296"/>
      <c r="AO26" s="297"/>
      <c r="AP26" s="196">
        <v>44407</v>
      </c>
      <c r="AQ26" s="196">
        <v>44407</v>
      </c>
      <c r="AR26" s="196">
        <v>44407</v>
      </c>
      <c r="AS26" s="196">
        <v>44407</v>
      </c>
      <c r="AT26" s="196">
        <v>44561</v>
      </c>
      <c r="AU26" s="197"/>
      <c r="AV26" s="198" t="s">
        <v>499</v>
      </c>
    </row>
    <row r="27" spans="1:48" s="199" customFormat="1" ht="104.25" customHeight="1" x14ac:dyDescent="0.25">
      <c r="A27" s="188">
        <v>2</v>
      </c>
      <c r="B27" s="298"/>
      <c r="C27" s="298"/>
      <c r="D27" s="299"/>
      <c r="E27" s="292"/>
      <c r="F27" s="292"/>
      <c r="G27" s="292"/>
      <c r="H27" s="292"/>
      <c r="I27" s="292"/>
      <c r="J27" s="292"/>
      <c r="K27" s="292"/>
      <c r="L27" s="292"/>
      <c r="M27" s="188" t="s">
        <v>500</v>
      </c>
      <c r="N27" s="188" t="s">
        <v>500</v>
      </c>
      <c r="O27" s="294"/>
      <c r="P27" s="190">
        <f>316201.891/1.2</f>
        <v>263501.57583333337</v>
      </c>
      <c r="Q27" s="188" t="s">
        <v>501</v>
      </c>
      <c r="R27" s="190">
        <f>P27</f>
        <v>263501.57583333337</v>
      </c>
      <c r="S27" s="188" t="s">
        <v>502</v>
      </c>
      <c r="T27" s="188" t="s">
        <v>502</v>
      </c>
      <c r="U27" s="188">
        <v>1</v>
      </c>
      <c r="V27" s="188">
        <v>1</v>
      </c>
      <c r="W27" s="189" t="s">
        <v>503</v>
      </c>
      <c r="X27" s="191">
        <v>263501.57583333337</v>
      </c>
      <c r="Y27" s="192" t="s">
        <v>289</v>
      </c>
      <c r="Z27" s="193">
        <v>1</v>
      </c>
      <c r="AA27" s="191">
        <v>263501.57583333337</v>
      </c>
      <c r="AB27" s="190">
        <f>AA27</f>
        <v>263501.57583333337</v>
      </c>
      <c r="AC27" s="189" t="s">
        <v>503</v>
      </c>
      <c r="AD27" s="194">
        <f>AB27*1.2</f>
        <v>316201.891</v>
      </c>
      <c r="AE27" s="200"/>
      <c r="AF27" s="189">
        <v>32211786301</v>
      </c>
      <c r="AG27" s="195" t="s">
        <v>473</v>
      </c>
      <c r="AH27" s="196">
        <v>44858</v>
      </c>
      <c r="AI27" s="196">
        <v>44858</v>
      </c>
      <c r="AJ27" s="196">
        <v>44887</v>
      </c>
      <c r="AK27" s="196">
        <v>44890</v>
      </c>
      <c r="AL27" s="295" t="s">
        <v>464</v>
      </c>
      <c r="AM27" s="296"/>
      <c r="AN27" s="296"/>
      <c r="AO27" s="297"/>
      <c r="AP27" s="196">
        <v>44907</v>
      </c>
      <c r="AQ27" s="196">
        <v>44907</v>
      </c>
      <c r="AR27" s="196">
        <v>44907</v>
      </c>
      <c r="AS27" s="196">
        <v>44907</v>
      </c>
      <c r="AT27" s="196">
        <v>45290</v>
      </c>
      <c r="AU27" s="197"/>
      <c r="AV27" s="198" t="s">
        <v>507</v>
      </c>
    </row>
  </sheetData>
  <mergeCells count="81">
    <mergeCell ref="L23:L24"/>
    <mergeCell ref="S23:S24"/>
    <mergeCell ref="AF22:AK22"/>
    <mergeCell ref="AK23:AK24"/>
    <mergeCell ref="AH23:AI23"/>
    <mergeCell ref="AJ23:AJ24"/>
    <mergeCell ref="M22:M24"/>
    <mergeCell ref="N22:N24"/>
    <mergeCell ref="F23:F24"/>
    <mergeCell ref="G23:G24"/>
    <mergeCell ref="H23:H24"/>
    <mergeCell ref="K23:K24"/>
    <mergeCell ref="I23:I24"/>
    <mergeCell ref="J23:J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B26:B27"/>
    <mergeCell ref="C26:C27"/>
    <mergeCell ref="D26:D27"/>
    <mergeCell ref="E26:E27"/>
    <mergeCell ref="F26:F27"/>
    <mergeCell ref="L26:L27"/>
    <mergeCell ref="O26:O27"/>
    <mergeCell ref="AL27:AO27"/>
    <mergeCell ref="G26:G27"/>
    <mergeCell ref="H26:H27"/>
    <mergeCell ref="I26:I27"/>
    <mergeCell ref="J26:J27"/>
    <mergeCell ref="K26:K27"/>
    <mergeCell ref="AL26:AO26"/>
  </mergeCells>
  <phoneticPr fontId="47" type="noConversion"/>
  <hyperlinks>
    <hyperlink ref="AG26" r:id="rId1" display="www.b2b-mrsk.ru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32" zoomScale="80" zoomScaleNormal="90" zoomScaleSheetLayoutView="80" workbookViewId="0">
      <selection activeCell="B61" sqref="B61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26" t="str">
        <f>'1. паспорт местоположение'!$A$5</f>
        <v>Год раскрытия информации: 2024 год</v>
      </c>
      <c r="B5" s="326"/>
    </row>
    <row r="6" spans="1:2" ht="18.75" x14ac:dyDescent="0.3">
      <c r="A6" s="21"/>
      <c r="B6" s="21"/>
    </row>
    <row r="7" spans="1:2" x14ac:dyDescent="0.25">
      <c r="A7" s="327" t="s">
        <v>5</v>
      </c>
      <c r="B7" s="327"/>
    </row>
    <row r="8" spans="1:2" ht="18.75" x14ac:dyDescent="0.25">
      <c r="A8" s="61"/>
      <c r="B8" s="61"/>
    </row>
    <row r="9" spans="1:2" x14ac:dyDescent="0.25">
      <c r="A9" s="328" t="s">
        <v>286</v>
      </c>
      <c r="B9" s="328"/>
    </row>
    <row r="10" spans="1:2" x14ac:dyDescent="0.25">
      <c r="A10" s="213" t="s">
        <v>4</v>
      </c>
      <c r="B10" s="213"/>
    </row>
    <row r="11" spans="1:2" ht="18.75" x14ac:dyDescent="0.25">
      <c r="A11" s="61"/>
      <c r="B11" s="61"/>
    </row>
    <row r="12" spans="1:2" ht="30.75" customHeight="1" x14ac:dyDescent="0.25">
      <c r="A12" s="328" t="str">
        <f>'6.2. Паспорт фин осв ввод'!A11:K11</f>
        <v>M_Che425</v>
      </c>
      <c r="B12" s="328"/>
    </row>
    <row r="13" spans="1:2" x14ac:dyDescent="0.25">
      <c r="A13" s="213" t="s">
        <v>3</v>
      </c>
      <c r="B13" s="213"/>
    </row>
    <row r="14" spans="1:2" ht="18.75" x14ac:dyDescent="0.25">
      <c r="A14" s="1"/>
      <c r="B14" s="1"/>
    </row>
    <row r="15" spans="1:2" ht="57.75" customHeight="1" x14ac:dyDescent="0.25">
      <c r="A15" s="330" t="str">
        <f>'6.2. Паспорт фин осв ввод'!A14:K14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30"/>
    </row>
    <row r="16" spans="1:2" x14ac:dyDescent="0.25">
      <c r="A16" s="213" t="s">
        <v>2</v>
      </c>
      <c r="B16" s="213"/>
    </row>
    <row r="17" spans="1:9" x14ac:dyDescent="0.25">
      <c r="B17" s="85"/>
    </row>
    <row r="18" spans="1:9" ht="20.25" customHeight="1" x14ac:dyDescent="0.25">
      <c r="A18" s="329" t="s">
        <v>277</v>
      </c>
      <c r="B18" s="326"/>
    </row>
    <row r="19" spans="1:9" ht="10.5" customHeight="1" x14ac:dyDescent="0.25">
      <c r="B19" s="6"/>
    </row>
    <row r="20" spans="1:9" ht="10.5" customHeight="1" x14ac:dyDescent="0.25">
      <c r="B20" s="86"/>
    </row>
    <row r="21" spans="1:9" ht="75" x14ac:dyDescent="0.25">
      <c r="A21" s="148" t="s">
        <v>173</v>
      </c>
      <c r="B21" s="87" t="str">
        <f>'1. паспорт местоположение'!A15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48" t="s">
        <v>174</v>
      </c>
      <c r="B22" s="87" t="str">
        <f>'1. паспорт местоположение'!C27</f>
        <v>г.Грозный</v>
      </c>
    </row>
    <row r="23" spans="1:9" ht="30" x14ac:dyDescent="0.25">
      <c r="A23" s="148" t="s">
        <v>170</v>
      </c>
      <c r="B23" s="8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8" t="s">
        <v>175</v>
      </c>
      <c r="B24" s="88" t="s">
        <v>495</v>
      </c>
    </row>
    <row r="25" spans="1:9" x14ac:dyDescent="0.25">
      <c r="A25" s="149" t="s">
        <v>176</v>
      </c>
      <c r="B25" s="203">
        <f>VLOOKUP($A$12,'[1]6.2. отчет'!$D:$OM,400,0)</f>
        <v>2024</v>
      </c>
    </row>
    <row r="26" spans="1:9" x14ac:dyDescent="0.25">
      <c r="A26" s="149" t="s">
        <v>177</v>
      </c>
      <c r="B26" s="88" t="s">
        <v>496</v>
      </c>
      <c r="I26" s="89"/>
    </row>
    <row r="27" spans="1:9" ht="27.75" customHeight="1" x14ac:dyDescent="0.25">
      <c r="A27" s="150" t="s">
        <v>449</v>
      </c>
      <c r="B27" s="90">
        <f>'6.2. Паспорт фин осв ввод'!C24</f>
        <v>4.4063809959999993</v>
      </c>
      <c r="C27" s="142"/>
    </row>
    <row r="28" spans="1:9" x14ac:dyDescent="0.25">
      <c r="A28" s="151" t="s">
        <v>178</v>
      </c>
      <c r="B28" s="151" t="s">
        <v>288</v>
      </c>
    </row>
    <row r="29" spans="1:9" x14ac:dyDescent="0.25">
      <c r="A29" s="150" t="s">
        <v>179</v>
      </c>
      <c r="B29" s="90">
        <f>B30</f>
        <v>4.4055266799999995</v>
      </c>
    </row>
    <row r="30" spans="1:9" ht="28.5" x14ac:dyDescent="0.25">
      <c r="A30" s="150" t="s">
        <v>180</v>
      </c>
      <c r="B30" s="90">
        <f>3.76+B41</f>
        <v>4.4055266799999995</v>
      </c>
    </row>
    <row r="31" spans="1:9" x14ac:dyDescent="0.25">
      <c r="A31" s="151" t="s">
        <v>181</v>
      </c>
      <c r="B31" s="151"/>
    </row>
    <row r="32" spans="1:9" ht="30" x14ac:dyDescent="0.25">
      <c r="A32" s="150" t="s">
        <v>182</v>
      </c>
      <c r="B32" s="90" t="s">
        <v>504</v>
      </c>
    </row>
    <row r="33" spans="1:2" ht="18.75" customHeight="1" x14ac:dyDescent="0.25">
      <c r="A33" s="151" t="s">
        <v>505</v>
      </c>
      <c r="B33" s="90">
        <f>'7. Паспорт отчет о закупке'!AD27/1000</f>
        <v>316.20189099999999</v>
      </c>
    </row>
    <row r="34" spans="1:2" x14ac:dyDescent="0.25">
      <c r="A34" s="151" t="s">
        <v>183</v>
      </c>
      <c r="B34" s="153">
        <f>3.76/B27</f>
        <v>0.85330796483854487</v>
      </c>
    </row>
    <row r="35" spans="1:2" x14ac:dyDescent="0.25">
      <c r="A35" s="151" t="s">
        <v>184</v>
      </c>
      <c r="B35" s="90">
        <v>3.1040695199999999</v>
      </c>
    </row>
    <row r="36" spans="1:2" x14ac:dyDescent="0.25">
      <c r="A36" s="151" t="s">
        <v>185</v>
      </c>
      <c r="B36" s="90">
        <v>3.2674416000000002</v>
      </c>
    </row>
    <row r="37" spans="1:2" s="177" customFormat="1" ht="28.5" x14ac:dyDescent="0.25">
      <c r="A37" s="176" t="s">
        <v>187</v>
      </c>
      <c r="B37" s="176" t="s">
        <v>506</v>
      </c>
    </row>
    <row r="38" spans="1:2" s="177" customFormat="1" x14ac:dyDescent="0.25">
      <c r="A38" s="178" t="s">
        <v>474</v>
      </c>
      <c r="B38" s="179">
        <f>'7. Паспорт отчет о закупке'!AD26/10000</f>
        <v>1.2151334999999999</v>
      </c>
    </row>
    <row r="39" spans="1:2" s="177" customFormat="1" x14ac:dyDescent="0.25">
      <c r="A39" s="178" t="s">
        <v>183</v>
      </c>
      <c r="B39" s="180">
        <f>B41/B27</f>
        <v>0.14649815360632518</v>
      </c>
    </row>
    <row r="40" spans="1:2" s="177" customFormat="1" x14ac:dyDescent="0.25">
      <c r="A40" s="178" t="s">
        <v>184</v>
      </c>
      <c r="B40" s="181">
        <v>0.64552667600000002</v>
      </c>
    </row>
    <row r="41" spans="1:2" s="177" customFormat="1" x14ac:dyDescent="0.25">
      <c r="A41" s="178" t="s">
        <v>185</v>
      </c>
      <c r="B41" s="181">
        <f>0.5379389*1.2</f>
        <v>0.64552668000000002</v>
      </c>
    </row>
    <row r="42" spans="1:2" ht="28.5" x14ac:dyDescent="0.25">
      <c r="A42" s="150" t="s">
        <v>186</v>
      </c>
      <c r="B42" s="151"/>
    </row>
    <row r="43" spans="1:2" x14ac:dyDescent="0.25">
      <c r="A43" s="151" t="s">
        <v>513</v>
      </c>
      <c r="B43" s="87"/>
    </row>
    <row r="44" spans="1:2" x14ac:dyDescent="0.25">
      <c r="A44" s="151" t="s">
        <v>183</v>
      </c>
      <c r="B44" s="87"/>
    </row>
    <row r="45" spans="1:2" x14ac:dyDescent="0.25">
      <c r="A45" s="151" t="s">
        <v>184</v>
      </c>
      <c r="B45" s="87"/>
    </row>
    <row r="46" spans="1:2" x14ac:dyDescent="0.25">
      <c r="A46" s="151" t="s">
        <v>185</v>
      </c>
      <c r="B46" s="87"/>
    </row>
    <row r="47" spans="1:2" ht="28.5" x14ac:dyDescent="0.25">
      <c r="A47" s="150" t="s">
        <v>187</v>
      </c>
      <c r="B47" s="152"/>
    </row>
    <row r="48" spans="1:2" x14ac:dyDescent="0.25">
      <c r="A48" s="151" t="s">
        <v>513</v>
      </c>
      <c r="B48" s="154"/>
    </row>
    <row r="49" spans="1:5" x14ac:dyDescent="0.25">
      <c r="A49" s="151" t="s">
        <v>183</v>
      </c>
      <c r="B49" s="155"/>
    </row>
    <row r="50" spans="1:5" x14ac:dyDescent="0.25">
      <c r="A50" s="151" t="s">
        <v>184</v>
      </c>
      <c r="B50" s="154"/>
    </row>
    <row r="51" spans="1:5" x14ac:dyDescent="0.25">
      <c r="A51" s="151" t="s">
        <v>185</v>
      </c>
      <c r="B51" s="154"/>
    </row>
    <row r="52" spans="1:5" ht="28.5" x14ac:dyDescent="0.25">
      <c r="A52" s="149" t="s">
        <v>188</v>
      </c>
      <c r="B52" s="156">
        <f>B54+B55+B56</f>
        <v>0.88802313816079304</v>
      </c>
    </row>
    <row r="53" spans="1:5" x14ac:dyDescent="0.25">
      <c r="A53" s="91" t="s">
        <v>181</v>
      </c>
      <c r="B53" s="157"/>
    </row>
    <row r="54" spans="1:5" x14ac:dyDescent="0.25">
      <c r="A54" s="91" t="s">
        <v>189</v>
      </c>
      <c r="B54" s="153">
        <f>(B51+B41+B36)/(B27-B57)</f>
        <v>0.88802313816079304</v>
      </c>
    </row>
    <row r="55" spans="1:5" x14ac:dyDescent="0.25">
      <c r="A55" s="91" t="s">
        <v>190</v>
      </c>
      <c r="B55" s="153">
        <v>0</v>
      </c>
    </row>
    <row r="56" spans="1:5" x14ac:dyDescent="0.25">
      <c r="A56" s="91" t="s">
        <v>191</v>
      </c>
      <c r="B56" s="153">
        <f>B49</f>
        <v>0</v>
      </c>
    </row>
    <row r="57" spans="1:5" x14ac:dyDescent="0.25">
      <c r="A57" s="149" t="s">
        <v>453</v>
      </c>
      <c r="B57" s="187">
        <f>B58+B59</f>
        <v>0</v>
      </c>
    </row>
    <row r="58" spans="1:5" x14ac:dyDescent="0.25">
      <c r="A58" s="149" t="s">
        <v>454</v>
      </c>
      <c r="B58" s="158"/>
    </row>
    <row r="59" spans="1:5" x14ac:dyDescent="0.25">
      <c r="A59" s="149" t="s">
        <v>455</v>
      </c>
      <c r="B59" s="159">
        <v>0</v>
      </c>
    </row>
    <row r="60" spans="1:5" x14ac:dyDescent="0.25">
      <c r="A60" s="149" t="s">
        <v>192</v>
      </c>
      <c r="B60" s="160">
        <f>B61/$B$27</f>
        <v>0.85094688802529506</v>
      </c>
    </row>
    <row r="61" spans="1:5" x14ac:dyDescent="0.25">
      <c r="A61" s="149" t="s">
        <v>193</v>
      </c>
      <c r="B61" s="90">
        <f>'6.2. Паспорт фин осв ввод'!D24</f>
        <v>3.7495961959999997</v>
      </c>
      <c r="C61" s="142">
        <f>B40+B35</f>
        <v>3.7495961959999997</v>
      </c>
      <c r="D61" s="145">
        <f>B61-C61</f>
        <v>0</v>
      </c>
      <c r="E61" s="144"/>
    </row>
    <row r="62" spans="1:5" x14ac:dyDescent="0.25">
      <c r="A62" s="149" t="s">
        <v>194</v>
      </c>
      <c r="B62" s="160">
        <f>$B63/'6.2. Паспорт фин осв ввод'!$C$30</f>
        <v>0.8880231373546682</v>
      </c>
      <c r="D62" s="145"/>
    </row>
    <row r="63" spans="1:5" x14ac:dyDescent="0.25">
      <c r="A63" s="149" t="s">
        <v>195</v>
      </c>
      <c r="B63" s="90">
        <f>'6.2. Паспорт фин осв ввод'!D30</f>
        <v>3.2608069</v>
      </c>
      <c r="C63" s="143">
        <f>B41/1.2+B36/1.2</f>
        <v>3.2608069</v>
      </c>
      <c r="D63" s="145">
        <f>B63-C63</f>
        <v>0</v>
      </c>
      <c r="E63" s="144"/>
    </row>
    <row r="64" spans="1:5" x14ac:dyDescent="0.25">
      <c r="A64" s="161" t="s">
        <v>196</v>
      </c>
      <c r="B64" s="91"/>
    </row>
    <row r="65" spans="1:2" x14ac:dyDescent="0.25">
      <c r="A65" s="162" t="s">
        <v>197</v>
      </c>
      <c r="B65" s="91" t="s">
        <v>286</v>
      </c>
    </row>
    <row r="66" spans="1:2" ht="30" x14ac:dyDescent="0.25">
      <c r="A66" s="162" t="s">
        <v>198</v>
      </c>
      <c r="B66" s="91" t="str">
        <f>B37</f>
        <v>ООО "ФИРМА ОРГРЭС" № 04-21-ПИР-ЧЭ от 30.07.2021. Объем затрат по объекту 0,65 млн руб. с НДС</v>
      </c>
    </row>
    <row r="67" spans="1:2" x14ac:dyDescent="0.25">
      <c r="A67" s="162" t="s">
        <v>199</v>
      </c>
      <c r="B67" s="91" t="s">
        <v>300</v>
      </c>
    </row>
    <row r="68" spans="1:2" x14ac:dyDescent="0.25">
      <c r="A68" s="162" t="s">
        <v>200</v>
      </c>
      <c r="B68" s="91" t="s">
        <v>503</v>
      </c>
    </row>
    <row r="69" spans="1:2" x14ac:dyDescent="0.25">
      <c r="A69" s="162" t="s">
        <v>201</v>
      </c>
      <c r="B69" s="91" t="s">
        <v>300</v>
      </c>
    </row>
    <row r="70" spans="1:2" ht="14.25" customHeight="1" x14ac:dyDescent="0.25">
      <c r="A70" s="91" t="s">
        <v>202</v>
      </c>
      <c r="B70" s="87" t="s">
        <v>289</v>
      </c>
    </row>
    <row r="71" spans="1:2" ht="28.5" x14ac:dyDescent="0.25">
      <c r="A71" s="149" t="s">
        <v>203</v>
      </c>
      <c r="B71" s="163">
        <f>B73+B74</f>
        <v>30</v>
      </c>
    </row>
    <row r="72" spans="1:2" x14ac:dyDescent="0.25">
      <c r="A72" s="91" t="s">
        <v>181</v>
      </c>
      <c r="B72" s="164"/>
    </row>
    <row r="73" spans="1:2" x14ac:dyDescent="0.25">
      <c r="A73" s="91" t="s">
        <v>204</v>
      </c>
      <c r="B73" s="164">
        <v>20</v>
      </c>
    </row>
    <row r="74" spans="1:2" x14ac:dyDescent="0.25">
      <c r="A74" s="91" t="s">
        <v>205</v>
      </c>
      <c r="B74" s="164">
        <v>10</v>
      </c>
    </row>
    <row r="75" spans="1:2" x14ac:dyDescent="0.25">
      <c r="A75" s="165" t="s">
        <v>206</v>
      </c>
      <c r="B75" s="87"/>
    </row>
    <row r="76" spans="1:2" x14ac:dyDescent="0.25">
      <c r="A76" s="149" t="s">
        <v>207</v>
      </c>
      <c r="B76" s="151"/>
    </row>
    <row r="77" spans="1:2" x14ac:dyDescent="0.25">
      <c r="A77" s="91" t="s">
        <v>208</v>
      </c>
      <c r="B77" s="87"/>
    </row>
    <row r="78" spans="1:2" x14ac:dyDescent="0.25">
      <c r="A78" s="91" t="s">
        <v>209</v>
      </c>
      <c r="B78" s="87"/>
    </row>
    <row r="79" spans="1:2" x14ac:dyDescent="0.25">
      <c r="A79" s="91" t="s">
        <v>210</v>
      </c>
      <c r="B79" s="87"/>
    </row>
    <row r="80" spans="1:2" ht="28.5" x14ac:dyDescent="0.25">
      <c r="A80" s="166" t="s">
        <v>211</v>
      </c>
      <c r="B80" s="91" t="str">
        <f>$B$26</f>
        <v>Строительство</v>
      </c>
    </row>
    <row r="81" spans="1:2" ht="28.5" x14ac:dyDescent="0.25">
      <c r="A81" s="149" t="s">
        <v>212</v>
      </c>
      <c r="B81" s="325"/>
    </row>
    <row r="82" spans="1:2" x14ac:dyDescent="0.25">
      <c r="A82" s="91" t="s">
        <v>213</v>
      </c>
      <c r="B82" s="325"/>
    </row>
    <row r="83" spans="1:2" x14ac:dyDescent="0.25">
      <c r="A83" s="91" t="s">
        <v>214</v>
      </c>
      <c r="B83" s="325"/>
    </row>
    <row r="84" spans="1:2" x14ac:dyDescent="0.25">
      <c r="A84" s="91" t="s">
        <v>215</v>
      </c>
      <c r="B84" s="325"/>
    </row>
    <row r="85" spans="1:2" x14ac:dyDescent="0.25">
      <c r="A85" s="91" t="s">
        <v>216</v>
      </c>
      <c r="B85" s="325"/>
    </row>
    <row r="86" spans="1:2" x14ac:dyDescent="0.25">
      <c r="A86" s="167" t="s">
        <v>217</v>
      </c>
      <c r="B86" s="325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L22" sqref="L22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2" customFormat="1" ht="15.75" x14ac:dyDescent="0.2">
      <c r="A5" s="28"/>
    </row>
    <row r="6" spans="1:24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4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</row>
    <row r="10" spans="1:24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2" customFormat="1" ht="18.75" customHeight="1" x14ac:dyDescent="0.2">
      <c r="A11" s="212" t="s">
        <v>466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</row>
    <row r="12" spans="1:24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</row>
    <row r="13" spans="1:24" s="42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</row>
    <row r="14" spans="1:24" s="43" customFormat="1" ht="15.75" x14ac:dyDescent="0.2">
      <c r="A14" s="212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</row>
    <row r="15" spans="1:24" s="43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</row>
    <row r="16" spans="1:24" s="43" customFormat="1" ht="15" customHeight="1" x14ac:dyDescent="0.2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67"/>
      <c r="U16" s="67"/>
      <c r="V16" s="67"/>
      <c r="W16" s="67"/>
      <c r="X16" s="67"/>
    </row>
    <row r="17" spans="1:27" s="43" customFormat="1" ht="45.75" customHeight="1" x14ac:dyDescent="0.2">
      <c r="A17" s="222" t="s">
        <v>456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67"/>
      <c r="U18" s="67"/>
      <c r="V18" s="67"/>
      <c r="W18" s="67"/>
      <c r="X18" s="67"/>
    </row>
    <row r="19" spans="1:27" s="43" customFormat="1" ht="54" customHeight="1" x14ac:dyDescent="0.2">
      <c r="A19" s="216" t="s">
        <v>1</v>
      </c>
      <c r="B19" s="216" t="s">
        <v>309</v>
      </c>
      <c r="C19" s="219" t="s">
        <v>310</v>
      </c>
      <c r="D19" s="216" t="s">
        <v>311</v>
      </c>
      <c r="E19" s="216" t="s">
        <v>312</v>
      </c>
      <c r="F19" s="216" t="s">
        <v>313</v>
      </c>
      <c r="G19" s="216" t="s">
        <v>314</v>
      </c>
      <c r="H19" s="216" t="s">
        <v>315</v>
      </c>
      <c r="I19" s="216" t="s">
        <v>316</v>
      </c>
      <c r="J19" s="216" t="s">
        <v>317</v>
      </c>
      <c r="K19" s="216" t="s">
        <v>318</v>
      </c>
      <c r="L19" s="216" t="s">
        <v>319</v>
      </c>
      <c r="M19" s="216" t="s">
        <v>320</v>
      </c>
      <c r="N19" s="216" t="s">
        <v>321</v>
      </c>
      <c r="O19" s="216" t="s">
        <v>322</v>
      </c>
      <c r="P19" s="216" t="s">
        <v>323</v>
      </c>
      <c r="Q19" s="216" t="s">
        <v>324</v>
      </c>
      <c r="R19" s="216"/>
      <c r="S19" s="221" t="s">
        <v>325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16"/>
      <c r="B20" s="216"/>
      <c r="C20" s="220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105" t="s">
        <v>326</v>
      </c>
      <c r="R20" s="44" t="s">
        <v>327</v>
      </c>
      <c r="S20" s="221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5">
        <v>1</v>
      </c>
      <c r="B21" s="129">
        <v>2</v>
      </c>
      <c r="C21" s="105">
        <v>3</v>
      </c>
      <c r="D21" s="129">
        <v>4</v>
      </c>
      <c r="E21" s="105">
        <v>5</v>
      </c>
      <c r="F21" s="129">
        <v>6</v>
      </c>
      <c r="G21" s="105">
        <v>7</v>
      </c>
      <c r="H21" s="129">
        <v>8</v>
      </c>
      <c r="I21" s="105">
        <v>9</v>
      </c>
      <c r="J21" s="129">
        <v>10</v>
      </c>
      <c r="K21" s="105">
        <v>11</v>
      </c>
      <c r="L21" s="129">
        <v>12</v>
      </c>
      <c r="M21" s="105">
        <v>13</v>
      </c>
      <c r="N21" s="129">
        <v>14</v>
      </c>
      <c r="O21" s="105">
        <v>15</v>
      </c>
      <c r="P21" s="129">
        <v>16</v>
      </c>
      <c r="Q21" s="105">
        <v>17</v>
      </c>
      <c r="R21" s="129">
        <v>18</v>
      </c>
      <c r="S21" s="105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5" customFormat="1" ht="31.5" x14ac:dyDescent="0.2">
      <c r="A22" s="130">
        <v>1</v>
      </c>
      <c r="B22" s="131" t="s">
        <v>488</v>
      </c>
      <c r="C22" s="131" t="s">
        <v>447</v>
      </c>
      <c r="D22" s="131" t="str">
        <f>IF(B22="нд","нд",IF('3.3 паспорт описание'!C30="Объект введен на основные фонды",'3.3 паспорт описание'!C30,"в работе"))</f>
        <v>в работе</v>
      </c>
      <c r="E22" s="66" t="s">
        <v>300</v>
      </c>
      <c r="F22" s="131" t="s">
        <v>489</v>
      </c>
      <c r="G22" s="131" t="s">
        <v>490</v>
      </c>
      <c r="H22" s="131">
        <v>5.6999999999999993</v>
      </c>
      <c r="I22" s="132">
        <v>0.1</v>
      </c>
      <c r="J22" s="131">
        <v>5.7999999999999989</v>
      </c>
      <c r="K22" s="66" t="s">
        <v>300</v>
      </c>
      <c r="L22" s="66" t="s">
        <v>300</v>
      </c>
      <c r="M22" s="131">
        <v>0</v>
      </c>
      <c r="N22" s="66" t="s">
        <v>300</v>
      </c>
      <c r="O22" s="66" t="s">
        <v>300</v>
      </c>
      <c r="P22" s="66" t="s">
        <v>300</v>
      </c>
      <c r="Q22" s="66" t="s">
        <v>300</v>
      </c>
      <c r="R22" s="66" t="s">
        <v>300</v>
      </c>
      <c r="S22" s="131">
        <v>249.958416</v>
      </c>
      <c r="T22" s="133"/>
      <c r="U22" s="133"/>
      <c r="V22" s="133"/>
      <c r="W22" s="133"/>
      <c r="X22" s="133"/>
      <c r="Y22" s="134"/>
      <c r="Z22" s="134"/>
      <c r="AA22" s="134"/>
    </row>
    <row r="23" spans="1:27" s="135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36"/>
      <c r="S23" s="136"/>
      <c r="T23" s="133"/>
      <c r="U23" s="133"/>
      <c r="V23" s="133"/>
      <c r="W23" s="134"/>
      <c r="X23" s="134"/>
      <c r="Y23" s="134"/>
      <c r="Z23" s="134"/>
      <c r="AA23" s="134"/>
    </row>
    <row r="24" spans="1:27" ht="20.25" customHeight="1" x14ac:dyDescent="0.25">
      <c r="A24" s="137"/>
      <c r="B24" s="131" t="s">
        <v>446</v>
      </c>
      <c r="C24" s="131"/>
      <c r="D24" s="131"/>
      <c r="E24" s="137" t="s">
        <v>447</v>
      </c>
      <c r="F24" s="137" t="s">
        <v>447</v>
      </c>
      <c r="G24" s="137" t="s">
        <v>447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8"/>
      <c r="R24" s="139"/>
      <c r="S24" s="139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70" zoomScaleNormal="60" zoomScaleSheetLayoutView="70" workbookViewId="0">
      <selection activeCell="Q24" sqref="Q24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x14ac:dyDescent="0.2">
      <c r="A7" s="28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M_Che425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42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3" customFormat="1" ht="52.5" customHeight="1" x14ac:dyDescent="0.2">
      <c r="A16" s="21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113" s="43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113" s="43" customFormat="1" ht="15" customHeight="1" x14ac:dyDescent="0.2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</row>
    <row r="19" spans="1:113" s="43" customFormat="1" ht="15" customHeight="1" x14ac:dyDescent="0.2">
      <c r="A19" s="223" t="s">
        <v>328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</row>
    <row r="20" spans="1:113" s="45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6" t="s">
        <v>1</v>
      </c>
      <c r="B21" s="225" t="s">
        <v>329</v>
      </c>
      <c r="C21" s="226"/>
      <c r="D21" s="229" t="s">
        <v>330</v>
      </c>
      <c r="E21" s="225" t="s">
        <v>331</v>
      </c>
      <c r="F21" s="226"/>
      <c r="G21" s="225" t="s">
        <v>332</v>
      </c>
      <c r="H21" s="226"/>
      <c r="I21" s="225" t="s">
        <v>333</v>
      </c>
      <c r="J21" s="226"/>
      <c r="K21" s="229" t="s">
        <v>334</v>
      </c>
      <c r="L21" s="225" t="s">
        <v>335</v>
      </c>
      <c r="M21" s="226"/>
      <c r="N21" s="225" t="s">
        <v>357</v>
      </c>
      <c r="O21" s="226"/>
      <c r="P21" s="229" t="s">
        <v>336</v>
      </c>
      <c r="Q21" s="232" t="s">
        <v>337</v>
      </c>
      <c r="R21" s="233"/>
      <c r="S21" s="232" t="s">
        <v>338</v>
      </c>
      <c r="T21" s="234"/>
    </row>
    <row r="22" spans="1:113" ht="204.75" customHeight="1" x14ac:dyDescent="0.25">
      <c r="A22" s="237"/>
      <c r="B22" s="227"/>
      <c r="C22" s="228"/>
      <c r="D22" s="231"/>
      <c r="E22" s="227"/>
      <c r="F22" s="228"/>
      <c r="G22" s="227"/>
      <c r="H22" s="228"/>
      <c r="I22" s="227"/>
      <c r="J22" s="228"/>
      <c r="K22" s="230"/>
      <c r="L22" s="227"/>
      <c r="M22" s="228"/>
      <c r="N22" s="227"/>
      <c r="O22" s="228"/>
      <c r="P22" s="230"/>
      <c r="Q22" s="47" t="s">
        <v>339</v>
      </c>
      <c r="R22" s="47" t="s">
        <v>340</v>
      </c>
      <c r="S22" s="47" t="s">
        <v>341</v>
      </c>
      <c r="T22" s="47" t="s">
        <v>342</v>
      </c>
    </row>
    <row r="23" spans="1:113" ht="51.75" customHeight="1" x14ac:dyDescent="0.25">
      <c r="A23" s="238"/>
      <c r="B23" s="47" t="s">
        <v>343</v>
      </c>
      <c r="C23" s="47" t="s">
        <v>344</v>
      </c>
      <c r="D23" s="230"/>
      <c r="E23" s="47" t="s">
        <v>343</v>
      </c>
      <c r="F23" s="47" t="s">
        <v>344</v>
      </c>
      <c r="G23" s="47" t="s">
        <v>343</v>
      </c>
      <c r="H23" s="47" t="s">
        <v>344</v>
      </c>
      <c r="I23" s="47" t="s">
        <v>343</v>
      </c>
      <c r="J23" s="47" t="s">
        <v>344</v>
      </c>
      <c r="K23" s="47" t="s">
        <v>343</v>
      </c>
      <c r="L23" s="47" t="s">
        <v>343</v>
      </c>
      <c r="M23" s="47" t="s">
        <v>344</v>
      </c>
      <c r="N23" s="47" t="s">
        <v>343</v>
      </c>
      <c r="O23" s="47" t="s">
        <v>344</v>
      </c>
      <c r="P23" s="70" t="s">
        <v>343</v>
      </c>
      <c r="Q23" s="47" t="s">
        <v>343</v>
      </c>
      <c r="R23" s="47" t="s">
        <v>343</v>
      </c>
      <c r="S23" s="47" t="s">
        <v>343</v>
      </c>
      <c r="T23" s="47" t="s">
        <v>343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300</v>
      </c>
      <c r="C25" s="50" t="s">
        <v>300</v>
      </c>
      <c r="D25" s="50" t="s">
        <v>300</v>
      </c>
      <c r="E25" s="50" t="s">
        <v>300</v>
      </c>
      <c r="F25" s="50" t="s">
        <v>300</v>
      </c>
      <c r="G25" s="50" t="s">
        <v>300</v>
      </c>
      <c r="H25" s="50" t="s">
        <v>300</v>
      </c>
      <c r="I25" s="50" t="s">
        <v>300</v>
      </c>
      <c r="J25" s="50" t="s">
        <v>300</v>
      </c>
      <c r="K25" s="50" t="s">
        <v>300</v>
      </c>
      <c r="L25" s="50" t="s">
        <v>300</v>
      </c>
      <c r="M25" s="50" t="s">
        <v>300</v>
      </c>
      <c r="N25" s="50" t="s">
        <v>300</v>
      </c>
      <c r="O25" s="50" t="s">
        <v>300</v>
      </c>
      <c r="P25" s="50" t="s">
        <v>300</v>
      </c>
      <c r="Q25" s="50" t="s">
        <v>300</v>
      </c>
      <c r="R25" s="50" t="s">
        <v>300</v>
      </c>
      <c r="S25" s="50" t="s">
        <v>300</v>
      </c>
      <c r="T25" s="50" t="s">
        <v>300</v>
      </c>
    </row>
    <row r="26" spans="1:113" ht="3" customHeight="1" x14ac:dyDescent="0.25"/>
    <row r="27" spans="1:113" s="122" customFormat="1" ht="12.75" x14ac:dyDescent="0.2">
      <c r="B27" s="121"/>
      <c r="C27" s="121"/>
      <c r="K27" s="121"/>
    </row>
    <row r="28" spans="1:113" s="122" customFormat="1" x14ac:dyDescent="0.25">
      <c r="B28" s="124" t="s">
        <v>345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1:113" x14ac:dyDescent="0.25">
      <c r="B29" s="224" t="s">
        <v>346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13" x14ac:dyDescent="0.25"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/>
      <c r="DG30" s="124"/>
      <c r="DH30" s="124"/>
      <c r="DI30" s="124"/>
    </row>
    <row r="31" spans="1:113" x14ac:dyDescent="0.25">
      <c r="B31" s="125" t="s">
        <v>347</v>
      </c>
      <c r="C31" s="125"/>
      <c r="D31" s="125"/>
      <c r="E31" s="125"/>
      <c r="F31" s="126"/>
      <c r="G31" s="126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7"/>
      <c r="T31" s="127"/>
      <c r="U31" s="127"/>
      <c r="V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  <c r="BI31" s="127"/>
      <c r="BJ31" s="127"/>
      <c r="BK31" s="127"/>
      <c r="BL31" s="127"/>
      <c r="BM31" s="127"/>
      <c r="BN31" s="127"/>
      <c r="BO31" s="127"/>
      <c r="BP31" s="127"/>
      <c r="BQ31" s="127"/>
      <c r="BR31" s="127"/>
      <c r="BS31" s="127"/>
      <c r="BT31" s="127"/>
      <c r="BU31" s="127"/>
      <c r="BV31" s="127"/>
      <c r="BW31" s="127"/>
      <c r="BX31" s="127"/>
      <c r="BY31" s="127"/>
      <c r="BZ31" s="127"/>
      <c r="CA31" s="127"/>
      <c r="CB31" s="127"/>
      <c r="CC31" s="127"/>
      <c r="CD31" s="127"/>
      <c r="CE31" s="127"/>
      <c r="CF31" s="127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</row>
    <row r="32" spans="1:113" x14ac:dyDescent="0.25">
      <c r="B32" s="125" t="s">
        <v>348</v>
      </c>
      <c r="C32" s="125"/>
      <c r="D32" s="125"/>
      <c r="E32" s="125"/>
      <c r="F32" s="126"/>
      <c r="G32" s="126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</row>
    <row r="33" spans="2:113" s="126" customFormat="1" x14ac:dyDescent="0.25">
      <c r="B33" s="125" t="s">
        <v>349</v>
      </c>
      <c r="C33" s="125"/>
      <c r="D33" s="125"/>
      <c r="E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8"/>
      <c r="BL33" s="128"/>
      <c r="BM33" s="128"/>
      <c r="BN33" s="128"/>
      <c r="BO33" s="128"/>
      <c r="BP33" s="128"/>
      <c r="BQ33" s="128"/>
      <c r="BR33" s="128"/>
      <c r="BS33" s="128"/>
      <c r="BT33" s="128"/>
      <c r="BU33" s="128"/>
      <c r="BV33" s="128"/>
      <c r="BW33" s="128"/>
      <c r="BX33" s="128"/>
      <c r="BY33" s="128"/>
      <c r="BZ33" s="128"/>
      <c r="CA33" s="128"/>
      <c r="CB33" s="128"/>
      <c r="CC33" s="128"/>
      <c r="CD33" s="128"/>
      <c r="CE33" s="128"/>
      <c r="CF33" s="128"/>
      <c r="CG33" s="128"/>
      <c r="CH33" s="128"/>
      <c r="CI33" s="128"/>
      <c r="CJ33" s="128"/>
      <c r="CK33" s="128"/>
      <c r="CL33" s="128"/>
      <c r="CM33" s="128"/>
      <c r="CN33" s="128"/>
      <c r="CO33" s="128"/>
      <c r="CP33" s="128"/>
      <c r="CQ33" s="128"/>
      <c r="CR33" s="128"/>
      <c r="CS33" s="128"/>
      <c r="CT33" s="128"/>
      <c r="CU33" s="128"/>
      <c r="CV33" s="128"/>
      <c r="CW33" s="128"/>
      <c r="CX33" s="128"/>
      <c r="CY33" s="128"/>
      <c r="CZ33" s="128"/>
      <c r="DA33" s="128"/>
      <c r="DB33" s="128"/>
      <c r="DC33" s="128"/>
      <c r="DD33" s="128"/>
      <c r="DE33" s="128"/>
      <c r="DF33" s="128"/>
      <c r="DG33" s="128"/>
      <c r="DH33" s="128"/>
      <c r="DI33" s="128"/>
    </row>
    <row r="34" spans="2:113" s="126" customFormat="1" x14ac:dyDescent="0.25">
      <c r="B34" s="125" t="s">
        <v>350</v>
      </c>
      <c r="C34" s="125"/>
      <c r="D34" s="125"/>
      <c r="E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  <c r="BZ34" s="128"/>
      <c r="CA34" s="128"/>
      <c r="CB34" s="128"/>
      <c r="CC34" s="128"/>
      <c r="CD34" s="128"/>
      <c r="CE34" s="128"/>
      <c r="CF34" s="128"/>
      <c r="CG34" s="128"/>
      <c r="CH34" s="128"/>
      <c r="CI34" s="128"/>
      <c r="CJ34" s="128"/>
      <c r="CK34" s="128"/>
      <c r="CL34" s="128"/>
      <c r="CM34" s="128"/>
      <c r="CN34" s="128"/>
      <c r="CO34" s="128"/>
      <c r="CP34" s="128"/>
      <c r="CQ34" s="128"/>
      <c r="CR34" s="128"/>
      <c r="CS34" s="128"/>
      <c r="CT34" s="128"/>
      <c r="CU34" s="128"/>
      <c r="CV34" s="128"/>
      <c r="CW34" s="128"/>
      <c r="CX34" s="128"/>
      <c r="CY34" s="128"/>
      <c r="CZ34" s="128"/>
      <c r="DA34" s="128"/>
      <c r="DB34" s="128"/>
      <c r="DC34" s="128"/>
      <c r="DD34" s="128"/>
      <c r="DE34" s="128"/>
      <c r="DF34" s="128"/>
      <c r="DG34" s="128"/>
      <c r="DH34" s="128"/>
      <c r="DI34" s="128"/>
    </row>
    <row r="35" spans="2:113" s="126" customFormat="1" x14ac:dyDescent="0.25">
      <c r="B35" s="125" t="s">
        <v>351</v>
      </c>
      <c r="C35" s="125"/>
      <c r="D35" s="125"/>
      <c r="E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  <c r="BJ35" s="125"/>
      <c r="BK35" s="128"/>
      <c r="BL35" s="128"/>
      <c r="BM35" s="128"/>
      <c r="BN35" s="128"/>
      <c r="BO35" s="128"/>
      <c r="BP35" s="128"/>
      <c r="BQ35" s="128"/>
      <c r="BR35" s="128"/>
      <c r="BS35" s="128"/>
      <c r="BT35" s="128"/>
      <c r="BU35" s="128"/>
      <c r="BV35" s="128"/>
      <c r="BW35" s="128"/>
      <c r="BX35" s="128"/>
      <c r="BY35" s="128"/>
      <c r="BZ35" s="128"/>
      <c r="CA35" s="128"/>
      <c r="CB35" s="128"/>
      <c r="CC35" s="128"/>
      <c r="CD35" s="128"/>
      <c r="CE35" s="128"/>
      <c r="CF35" s="128"/>
      <c r="CG35" s="128"/>
      <c r="CH35" s="128"/>
      <c r="CI35" s="128"/>
      <c r="CJ35" s="128"/>
      <c r="CK35" s="128"/>
      <c r="CL35" s="128"/>
      <c r="CM35" s="128"/>
      <c r="CN35" s="128"/>
      <c r="CO35" s="128"/>
      <c r="CP35" s="128"/>
      <c r="CQ35" s="128"/>
      <c r="CR35" s="128"/>
      <c r="CS35" s="128"/>
      <c r="CT35" s="128"/>
      <c r="CU35" s="128"/>
      <c r="CV35" s="128"/>
      <c r="CW35" s="128"/>
      <c r="CX35" s="128"/>
      <c r="CY35" s="128"/>
      <c r="CZ35" s="128"/>
      <c r="DA35" s="128"/>
      <c r="DB35" s="128"/>
      <c r="DC35" s="128"/>
      <c r="DD35" s="128"/>
      <c r="DE35" s="128"/>
      <c r="DF35" s="128"/>
      <c r="DG35" s="128"/>
      <c r="DH35" s="128"/>
      <c r="DI35" s="128"/>
    </row>
    <row r="36" spans="2:113" s="126" customFormat="1" x14ac:dyDescent="0.25">
      <c r="B36" s="125" t="s">
        <v>352</v>
      </c>
      <c r="C36" s="125"/>
      <c r="D36" s="125"/>
      <c r="E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  <c r="CT36" s="128"/>
      <c r="CU36" s="128"/>
      <c r="CV36" s="128"/>
      <c r="CW36" s="128"/>
      <c r="CX36" s="128"/>
      <c r="CY36" s="128"/>
      <c r="CZ36" s="128"/>
      <c r="DA36" s="128"/>
      <c r="DB36" s="128"/>
      <c r="DC36" s="128"/>
      <c r="DD36" s="128"/>
      <c r="DE36" s="128"/>
      <c r="DF36" s="128"/>
      <c r="DG36" s="128"/>
      <c r="DH36" s="128"/>
      <c r="DI36" s="128"/>
    </row>
    <row r="37" spans="2:113" s="126" customFormat="1" x14ac:dyDescent="0.25">
      <c r="B37" s="125" t="s">
        <v>353</v>
      </c>
      <c r="C37" s="125"/>
      <c r="D37" s="125"/>
      <c r="E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  <c r="BJ37" s="125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  <c r="BZ37" s="128"/>
      <c r="CA37" s="128"/>
      <c r="CB37" s="128"/>
      <c r="CC37" s="128"/>
      <c r="CD37" s="128"/>
      <c r="CE37" s="128"/>
      <c r="CF37" s="128"/>
      <c r="CG37" s="128"/>
      <c r="CH37" s="128"/>
      <c r="CI37" s="128"/>
      <c r="CJ37" s="128"/>
      <c r="CK37" s="128"/>
      <c r="CL37" s="128"/>
      <c r="CM37" s="128"/>
      <c r="CN37" s="128"/>
      <c r="CO37" s="128"/>
      <c r="CP37" s="128"/>
      <c r="CQ37" s="128"/>
      <c r="CR37" s="128"/>
      <c r="CS37" s="128"/>
      <c r="CT37" s="128"/>
      <c r="CU37" s="128"/>
      <c r="CV37" s="128"/>
      <c r="CW37" s="128"/>
      <c r="CX37" s="128"/>
      <c r="CY37" s="128"/>
      <c r="CZ37" s="128"/>
      <c r="DA37" s="128"/>
      <c r="DB37" s="128"/>
      <c r="DC37" s="128"/>
      <c r="DD37" s="128"/>
      <c r="DE37" s="128"/>
      <c r="DF37" s="128"/>
      <c r="DG37" s="128"/>
      <c r="DH37" s="128"/>
      <c r="DI37" s="128"/>
    </row>
    <row r="38" spans="2:113" s="126" customFormat="1" x14ac:dyDescent="0.25">
      <c r="B38" s="125" t="s">
        <v>354</v>
      </c>
      <c r="C38" s="125"/>
      <c r="D38" s="125"/>
      <c r="E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  <c r="DB38" s="128"/>
      <c r="DC38" s="128"/>
      <c r="DD38" s="128"/>
      <c r="DE38" s="128"/>
      <c r="DF38" s="128"/>
      <c r="DG38" s="128"/>
      <c r="DH38" s="128"/>
      <c r="DI38" s="128"/>
    </row>
    <row r="39" spans="2:113" s="126" customFormat="1" x14ac:dyDescent="0.25">
      <c r="B39" s="125" t="s">
        <v>355</v>
      </c>
      <c r="C39" s="125"/>
      <c r="D39" s="125"/>
      <c r="E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  <c r="BJ39" s="125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8"/>
      <c r="DG39" s="128"/>
      <c r="DH39" s="128"/>
      <c r="DI39" s="128"/>
    </row>
    <row r="40" spans="2:113" s="126" customFormat="1" x14ac:dyDescent="0.25">
      <c r="B40" s="125" t="s">
        <v>356</v>
      </c>
      <c r="C40" s="125"/>
      <c r="D40" s="125"/>
      <c r="E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  <c r="BJ40" s="125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8"/>
      <c r="DG40" s="128"/>
      <c r="DH40" s="128"/>
      <c r="DI40" s="128"/>
    </row>
    <row r="41" spans="2:113" s="126" customFormat="1" x14ac:dyDescent="0.25">
      <c r="Q41" s="125"/>
      <c r="R41" s="125"/>
      <c r="S41" s="125"/>
      <c r="T41" s="125"/>
      <c r="U41" s="125"/>
      <c r="V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  <c r="BJ41" s="125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8"/>
      <c r="DG41" s="128"/>
      <c r="DH41" s="128"/>
      <c r="DI41" s="128"/>
    </row>
    <row r="42" spans="2:113" s="126" customFormat="1" x14ac:dyDescent="0.25"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  <c r="BJ42" s="125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</row>
    <row r="6" spans="1:27" s="2" customFormat="1" x14ac:dyDescent="0.2">
      <c r="A6" s="28"/>
    </row>
    <row r="7" spans="1:27" s="2" customFormat="1" ht="18.75" x14ac:dyDescent="0.2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</row>
    <row r="8" spans="1:27" s="2" customFormat="1" ht="18.75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7" s="2" customFormat="1" ht="18.75" customHeight="1" x14ac:dyDescent="0.2">
      <c r="A9" s="212" t="s">
        <v>308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</row>
    <row r="10" spans="1:27" s="2" customFormat="1" ht="18.75" customHeight="1" x14ac:dyDescent="0.2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</row>
    <row r="11" spans="1:27" s="2" customFormat="1" ht="18.75" x14ac:dyDescent="0.2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7" s="2" customFormat="1" ht="18.75" customHeight="1" x14ac:dyDescent="0.2">
      <c r="A12" s="212" t="str">
        <f>'1. паспорт местоположение'!A12:C12</f>
        <v>M_Che425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</row>
    <row r="13" spans="1:27" s="2" customFormat="1" ht="18.75" customHeight="1" x14ac:dyDescent="0.2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</row>
    <row r="14" spans="1:27" s="42" customFormat="1" ht="15.75" customHeight="1" x14ac:dyDescent="0.2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7" s="43" customFormat="1" x14ac:dyDescent="0.2">
      <c r="A15" s="21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27" s="43" customFormat="1" ht="15" customHeight="1" x14ac:dyDescent="0.2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</row>
    <row r="19" spans="1:27" ht="25.5" customHeight="1" x14ac:dyDescent="0.25">
      <c r="A19" s="223" t="s">
        <v>358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</row>
    <row r="20" spans="1:27" s="45" customFormat="1" ht="21" customHeight="1" x14ac:dyDescent="0.25"/>
    <row r="21" spans="1:27" ht="15.75" customHeight="1" x14ac:dyDescent="0.25">
      <c r="A21" s="229" t="s">
        <v>1</v>
      </c>
      <c r="B21" s="225" t="s">
        <v>359</v>
      </c>
      <c r="C21" s="226"/>
      <c r="D21" s="225" t="s">
        <v>360</v>
      </c>
      <c r="E21" s="226"/>
      <c r="F21" s="232" t="s">
        <v>318</v>
      </c>
      <c r="G21" s="234"/>
      <c r="H21" s="234"/>
      <c r="I21" s="233"/>
      <c r="J21" s="229" t="s">
        <v>361</v>
      </c>
      <c r="K21" s="225" t="s">
        <v>362</v>
      </c>
      <c r="L21" s="226"/>
      <c r="M21" s="225" t="s">
        <v>363</v>
      </c>
      <c r="N21" s="226"/>
      <c r="O21" s="225" t="s">
        <v>364</v>
      </c>
      <c r="P21" s="226"/>
      <c r="Q21" s="225" t="s">
        <v>365</v>
      </c>
      <c r="R21" s="226"/>
      <c r="S21" s="229" t="s">
        <v>366</v>
      </c>
      <c r="T21" s="229" t="s">
        <v>367</v>
      </c>
      <c r="U21" s="229" t="s">
        <v>368</v>
      </c>
      <c r="V21" s="225" t="s">
        <v>369</v>
      </c>
      <c r="W21" s="226"/>
      <c r="X21" s="232" t="s">
        <v>337</v>
      </c>
      <c r="Y21" s="234"/>
      <c r="Z21" s="232" t="s">
        <v>338</v>
      </c>
      <c r="AA21" s="234"/>
    </row>
    <row r="22" spans="1:27" ht="216" customHeight="1" x14ac:dyDescent="0.25">
      <c r="A22" s="231"/>
      <c r="B22" s="227"/>
      <c r="C22" s="228"/>
      <c r="D22" s="227"/>
      <c r="E22" s="228"/>
      <c r="F22" s="232" t="s">
        <v>370</v>
      </c>
      <c r="G22" s="233"/>
      <c r="H22" s="232" t="s">
        <v>371</v>
      </c>
      <c r="I22" s="233"/>
      <c r="J22" s="230"/>
      <c r="K22" s="227"/>
      <c r="L22" s="228"/>
      <c r="M22" s="227"/>
      <c r="N22" s="228"/>
      <c r="O22" s="227"/>
      <c r="P22" s="228"/>
      <c r="Q22" s="227"/>
      <c r="R22" s="228"/>
      <c r="S22" s="230"/>
      <c r="T22" s="230"/>
      <c r="U22" s="230"/>
      <c r="V22" s="227"/>
      <c r="W22" s="228"/>
      <c r="X22" s="47" t="s">
        <v>339</v>
      </c>
      <c r="Y22" s="47" t="s">
        <v>340</v>
      </c>
      <c r="Z22" s="47" t="s">
        <v>341</v>
      </c>
      <c r="AA22" s="47" t="s">
        <v>342</v>
      </c>
    </row>
    <row r="23" spans="1:27" ht="60" customHeight="1" x14ac:dyDescent="0.25">
      <c r="A23" s="230"/>
      <c r="B23" s="70" t="s">
        <v>343</v>
      </c>
      <c r="C23" s="169" t="s">
        <v>344</v>
      </c>
      <c r="D23" s="70" t="s">
        <v>343</v>
      </c>
      <c r="E23" s="70" t="s">
        <v>344</v>
      </c>
      <c r="F23" s="70" t="s">
        <v>343</v>
      </c>
      <c r="G23" s="70" t="s">
        <v>344</v>
      </c>
      <c r="H23" s="70" t="s">
        <v>343</v>
      </c>
      <c r="I23" s="70" t="s">
        <v>344</v>
      </c>
      <c r="J23" s="70" t="s">
        <v>343</v>
      </c>
      <c r="K23" s="70" t="s">
        <v>343</v>
      </c>
      <c r="L23" s="70" t="s">
        <v>344</v>
      </c>
      <c r="M23" s="70" t="s">
        <v>343</v>
      </c>
      <c r="N23" s="70" t="s">
        <v>344</v>
      </c>
      <c r="O23" s="70" t="s">
        <v>343</v>
      </c>
      <c r="P23" s="70" t="s">
        <v>344</v>
      </c>
      <c r="Q23" s="70" t="s">
        <v>343</v>
      </c>
      <c r="R23" s="70" t="s">
        <v>344</v>
      </c>
      <c r="S23" s="70" t="s">
        <v>343</v>
      </c>
      <c r="T23" s="70" t="s">
        <v>343</v>
      </c>
      <c r="U23" s="70" t="s">
        <v>343</v>
      </c>
      <c r="V23" s="70" t="s">
        <v>343</v>
      </c>
      <c r="W23" s="70" t="s">
        <v>344</v>
      </c>
      <c r="X23" s="70" t="s">
        <v>343</v>
      </c>
      <c r="Y23" s="70" t="s">
        <v>343</v>
      </c>
      <c r="Z23" s="47" t="s">
        <v>343</v>
      </c>
      <c r="AA23" s="47" t="s">
        <v>343</v>
      </c>
    </row>
    <row r="24" spans="1:27" x14ac:dyDescent="0.25">
      <c r="A24" s="119">
        <v>1</v>
      </c>
      <c r="B24" s="119">
        <v>2</v>
      </c>
      <c r="C24" s="119">
        <v>3</v>
      </c>
      <c r="D24" s="119">
        <v>4</v>
      </c>
      <c r="E24" s="119">
        <v>5</v>
      </c>
      <c r="F24" s="119">
        <v>6</v>
      </c>
      <c r="G24" s="119">
        <v>7</v>
      </c>
      <c r="H24" s="119">
        <v>8</v>
      </c>
      <c r="I24" s="119">
        <v>9</v>
      </c>
      <c r="J24" s="119">
        <v>10</v>
      </c>
      <c r="K24" s="119">
        <v>11</v>
      </c>
      <c r="L24" s="119">
        <v>12</v>
      </c>
      <c r="M24" s="119">
        <v>13</v>
      </c>
      <c r="N24" s="119">
        <v>14</v>
      </c>
      <c r="O24" s="119">
        <v>15</v>
      </c>
      <c r="P24" s="119">
        <v>16</v>
      </c>
      <c r="Q24" s="119">
        <v>19</v>
      </c>
      <c r="R24" s="119">
        <v>20</v>
      </c>
      <c r="S24" s="119">
        <v>21</v>
      </c>
      <c r="T24" s="119">
        <v>22</v>
      </c>
      <c r="U24" s="119">
        <v>23</v>
      </c>
      <c r="V24" s="119">
        <v>24</v>
      </c>
      <c r="W24" s="119">
        <v>25</v>
      </c>
      <c r="X24" s="119">
        <v>26</v>
      </c>
      <c r="Y24" s="119">
        <v>27</v>
      </c>
      <c r="Z24" s="119">
        <v>28</v>
      </c>
      <c r="AA24" s="119">
        <v>29</v>
      </c>
    </row>
    <row r="25" spans="1:27" s="45" customFormat="1" ht="24" customHeight="1" x14ac:dyDescent="0.25">
      <c r="A25" s="120" t="s">
        <v>300</v>
      </c>
      <c r="B25" s="120" t="s">
        <v>300</v>
      </c>
      <c r="C25" s="120" t="s">
        <v>300</v>
      </c>
      <c r="D25" s="120" t="s">
        <v>300</v>
      </c>
      <c r="E25" s="120" t="s">
        <v>300</v>
      </c>
      <c r="F25" s="120" t="s">
        <v>300</v>
      </c>
      <c r="G25" s="120" t="s">
        <v>300</v>
      </c>
      <c r="H25" s="120" t="s">
        <v>300</v>
      </c>
      <c r="I25" s="120" t="s">
        <v>300</v>
      </c>
      <c r="J25" s="120" t="s">
        <v>300</v>
      </c>
      <c r="K25" s="120" t="s">
        <v>300</v>
      </c>
      <c r="L25" s="120" t="s">
        <v>300</v>
      </c>
      <c r="M25" s="120" t="s">
        <v>300</v>
      </c>
      <c r="N25" s="120" t="s">
        <v>300</v>
      </c>
      <c r="O25" s="120" t="s">
        <v>300</v>
      </c>
      <c r="P25" s="120" t="s">
        <v>300</v>
      </c>
      <c r="Q25" s="120" t="s">
        <v>300</v>
      </c>
      <c r="R25" s="120" t="s">
        <v>300</v>
      </c>
      <c r="S25" s="120" t="s">
        <v>300</v>
      </c>
      <c r="T25" s="120" t="s">
        <v>300</v>
      </c>
      <c r="U25" s="120" t="s">
        <v>300</v>
      </c>
      <c r="V25" s="120" t="s">
        <v>300</v>
      </c>
      <c r="W25" s="120" t="s">
        <v>300</v>
      </c>
      <c r="X25" s="120" t="s">
        <v>300</v>
      </c>
      <c r="Y25" s="120" t="s">
        <v>300</v>
      </c>
      <c r="Z25" s="120" t="s">
        <v>300</v>
      </c>
      <c r="AA25" s="120" t="s">
        <v>300</v>
      </c>
    </row>
    <row r="26" spans="1:27" ht="21.75" customHeight="1" x14ac:dyDescent="0.25"/>
    <row r="27" spans="1:27" s="122" customFormat="1" ht="12.75" x14ac:dyDescent="0.2">
      <c r="A27" s="121"/>
      <c r="B27" s="121"/>
      <c r="C27" s="121"/>
      <c r="E27" s="121"/>
      <c r="X27" s="123"/>
      <c r="Y27" s="123"/>
      <c r="Z27" s="123"/>
      <c r="AA27" s="123"/>
    </row>
    <row r="28" spans="1:27" s="122" customFormat="1" ht="12.75" x14ac:dyDescent="0.2">
      <c r="A28" s="121"/>
      <c r="B28" s="121"/>
      <c r="C28" s="121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7" zoomScale="60" zoomScaleNormal="100" workbookViewId="0">
      <selection activeCell="A9" sqref="A9:C12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7" t="str">
        <f>'1. паспорт местоположение'!A5:C5</f>
        <v>Год раскрытия информации: 2024 год</v>
      </c>
      <c r="B5" s="207"/>
      <c r="C5" s="207"/>
    </row>
    <row r="6" spans="1:3" s="2" customFormat="1" ht="7.5" customHeight="1" x14ac:dyDescent="0.2">
      <c r="A6" s="28"/>
    </row>
    <row r="7" spans="1:3" s="2" customFormat="1" ht="18.75" x14ac:dyDescent="0.2">
      <c r="A7" s="211" t="s">
        <v>5</v>
      </c>
      <c r="B7" s="211"/>
      <c r="C7" s="211"/>
    </row>
    <row r="8" spans="1:3" s="2" customFormat="1" ht="9.75" customHeight="1" x14ac:dyDescent="0.2">
      <c r="A8" s="211"/>
      <c r="B8" s="211"/>
      <c r="C8" s="211"/>
    </row>
    <row r="9" spans="1:3" s="2" customFormat="1" ht="15.75" x14ac:dyDescent="0.2">
      <c r="A9" s="212" t="str">
        <f>'1. паспорт местоположение'!A9:C9</f>
        <v>АО "Чеченэнерго"</v>
      </c>
      <c r="B9" s="212"/>
      <c r="C9" s="212"/>
    </row>
    <row r="10" spans="1:3" s="2" customFormat="1" ht="15.75" x14ac:dyDescent="0.2">
      <c r="A10" s="213" t="s">
        <v>4</v>
      </c>
      <c r="B10" s="213"/>
      <c r="C10" s="213"/>
    </row>
    <row r="11" spans="1:3" s="2" customFormat="1" ht="10.5" customHeight="1" x14ac:dyDescent="0.2">
      <c r="A11" s="240"/>
      <c r="B11" s="240"/>
      <c r="C11" s="240"/>
    </row>
    <row r="12" spans="1:3" s="2" customFormat="1" ht="15.75" x14ac:dyDescent="0.2">
      <c r="A12" s="212" t="str">
        <f>'1. паспорт местоположение'!A12:C12</f>
        <v>M_Che425</v>
      </c>
      <c r="B12" s="212"/>
      <c r="C12" s="212"/>
    </row>
    <row r="13" spans="1:3" s="2" customFormat="1" ht="15.75" x14ac:dyDescent="0.2">
      <c r="A13" s="213" t="s">
        <v>3</v>
      </c>
      <c r="B13" s="213"/>
      <c r="C13" s="213"/>
    </row>
    <row r="14" spans="1:3" s="42" customFormat="1" ht="15.75" customHeight="1" x14ac:dyDescent="0.2">
      <c r="A14" s="215"/>
      <c r="B14" s="215"/>
      <c r="C14" s="215"/>
    </row>
    <row r="15" spans="1:3" s="43" customFormat="1" ht="44.25" customHeight="1" x14ac:dyDescent="0.2">
      <c r="A15" s="21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4"/>
      <c r="C15" s="214"/>
    </row>
    <row r="16" spans="1:3" s="43" customFormat="1" ht="15" customHeight="1" x14ac:dyDescent="0.2">
      <c r="A16" s="213" t="s">
        <v>2</v>
      </c>
      <c r="B16" s="213"/>
      <c r="C16" s="213"/>
    </row>
    <row r="17" spans="1:3" s="43" customFormat="1" ht="9" customHeight="1" x14ac:dyDescent="0.2">
      <c r="A17" s="217"/>
      <c r="B17" s="217"/>
      <c r="C17" s="217"/>
    </row>
    <row r="18" spans="1:3" s="43" customFormat="1" ht="27.75" customHeight="1" x14ac:dyDescent="0.2">
      <c r="A18" s="239" t="s">
        <v>270</v>
      </c>
      <c r="B18" s="239"/>
      <c r="C18" s="239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17" t="s">
        <v>1</v>
      </c>
      <c r="B20" s="109" t="s">
        <v>55</v>
      </c>
      <c r="C20" s="108" t="s">
        <v>54</v>
      </c>
    </row>
    <row r="21" spans="1:3" s="43" customFormat="1" ht="16.5" customHeight="1" x14ac:dyDescent="0.2">
      <c r="A21" s="108">
        <v>1</v>
      </c>
      <c r="B21" s="109">
        <v>2</v>
      </c>
      <c r="C21" s="108">
        <v>3</v>
      </c>
    </row>
    <row r="22" spans="1:3" s="43" customFormat="1" ht="60" customHeight="1" x14ac:dyDescent="0.2">
      <c r="A22" s="3" t="s">
        <v>53</v>
      </c>
      <c r="B22" s="5" t="s">
        <v>274</v>
      </c>
      <c r="C22" s="4" t="s">
        <v>491</v>
      </c>
    </row>
    <row r="23" spans="1:3" ht="63" customHeight="1" x14ac:dyDescent="0.25">
      <c r="A23" s="3" t="s">
        <v>52</v>
      </c>
      <c r="B23" s="118" t="s">
        <v>49</v>
      </c>
      <c r="C23" s="4" t="s">
        <v>492</v>
      </c>
    </row>
    <row r="24" spans="1:3" ht="31.5" x14ac:dyDescent="0.25">
      <c r="A24" s="3" t="s">
        <v>51</v>
      </c>
      <c r="B24" s="118" t="s">
        <v>280</v>
      </c>
      <c r="C24" s="117" t="s">
        <v>475</v>
      </c>
    </row>
    <row r="25" spans="1:3" ht="38.25" customHeight="1" x14ac:dyDescent="0.25">
      <c r="A25" s="3" t="s">
        <v>50</v>
      </c>
      <c r="B25" s="118" t="s">
        <v>281</v>
      </c>
      <c r="C25" s="4" t="s">
        <v>493</v>
      </c>
    </row>
    <row r="26" spans="1:3" ht="33" customHeight="1" x14ac:dyDescent="0.25">
      <c r="A26" s="3" t="s">
        <v>48</v>
      </c>
      <c r="B26" s="118" t="s">
        <v>166</v>
      </c>
      <c r="C26" s="117" t="s">
        <v>450</v>
      </c>
    </row>
    <row r="27" spans="1:3" ht="15.75" x14ac:dyDescent="0.25">
      <c r="A27" s="3" t="s">
        <v>47</v>
      </c>
      <c r="B27" s="118" t="s">
        <v>275</v>
      </c>
      <c r="C27" s="117" t="s">
        <v>476</v>
      </c>
    </row>
    <row r="28" spans="1:3" ht="27.75" customHeight="1" x14ac:dyDescent="0.25">
      <c r="A28" s="3" t="s">
        <v>45</v>
      </c>
      <c r="B28" s="118" t="s">
        <v>46</v>
      </c>
      <c r="C28" s="65">
        <v>2021</v>
      </c>
    </row>
    <row r="29" spans="1:3" ht="22.5" customHeight="1" x14ac:dyDescent="0.25">
      <c r="A29" s="3" t="s">
        <v>43</v>
      </c>
      <c r="B29" s="117" t="s">
        <v>44</v>
      </c>
      <c r="C29" s="65">
        <v>2024</v>
      </c>
    </row>
    <row r="30" spans="1:3" ht="24.75" customHeight="1" x14ac:dyDescent="0.25">
      <c r="A30" s="3" t="s">
        <v>61</v>
      </c>
      <c r="B30" s="117" t="s">
        <v>42</v>
      </c>
      <c r="C30" s="78" t="s">
        <v>494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1" sqref="A11:T11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7" t="str">
        <f>'1. паспорт местоположение'!$A$5</f>
        <v>Год раскрытия информации: 2024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8" s="2" customFormat="1" ht="15.75" x14ac:dyDescent="0.2">
      <c r="A5" s="28"/>
    </row>
    <row r="6" spans="1:28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8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8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8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8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8" s="2" customFormat="1" ht="18.75" customHeight="1" x14ac:dyDescent="0.2">
      <c r="A11" s="212" t="str">
        <f>'1. паспорт местоположение'!A12:C12</f>
        <v>M_Che425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8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8" s="42" customFormat="1" ht="15.75" customHeight="1" x14ac:dyDescent="0.2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8" s="43" customFormat="1" ht="37.5" customHeight="1" x14ac:dyDescent="0.2">
      <c r="A14" s="21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8" s="43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51"/>
      <c r="AB16" s="51"/>
    </row>
    <row r="17" spans="1:2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51"/>
      <c r="AB17" s="51"/>
    </row>
    <row r="18" spans="1:2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51"/>
      <c r="AB18" s="51"/>
    </row>
    <row r="19" spans="1:2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51"/>
      <c r="AB19" s="51"/>
    </row>
    <row r="20" spans="1:2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51"/>
      <c r="AB20" s="51"/>
    </row>
    <row r="21" spans="1:28" x14ac:dyDescent="0.25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51"/>
      <c r="AB21" s="51"/>
    </row>
    <row r="22" spans="1:28" x14ac:dyDescent="0.25">
      <c r="A22" s="246" t="s">
        <v>372</v>
      </c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  <c r="AA22" s="53"/>
      <c r="AB22" s="53"/>
    </row>
    <row r="23" spans="1:28" ht="32.25" customHeight="1" x14ac:dyDescent="0.25">
      <c r="A23" s="242" t="s">
        <v>373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4"/>
      <c r="M23" s="245" t="s">
        <v>374</v>
      </c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</row>
    <row r="24" spans="1:28" ht="151.5" customHeight="1" x14ac:dyDescent="0.25">
      <c r="A24" s="110" t="s">
        <v>375</v>
      </c>
      <c r="B24" s="111" t="s">
        <v>376</v>
      </c>
      <c r="C24" s="110" t="s">
        <v>377</v>
      </c>
      <c r="D24" s="110" t="s">
        <v>378</v>
      </c>
      <c r="E24" s="110" t="s">
        <v>379</v>
      </c>
      <c r="F24" s="110" t="s">
        <v>399</v>
      </c>
      <c r="G24" s="110" t="s">
        <v>400</v>
      </c>
      <c r="H24" s="110" t="s">
        <v>380</v>
      </c>
      <c r="I24" s="110" t="s">
        <v>401</v>
      </c>
      <c r="J24" s="110" t="s">
        <v>381</v>
      </c>
      <c r="K24" s="111" t="s">
        <v>382</v>
      </c>
      <c r="L24" s="111" t="s">
        <v>383</v>
      </c>
      <c r="M24" s="112" t="s">
        <v>384</v>
      </c>
      <c r="N24" s="111" t="s">
        <v>402</v>
      </c>
      <c r="O24" s="110" t="s">
        <v>403</v>
      </c>
      <c r="P24" s="110" t="s">
        <v>404</v>
      </c>
      <c r="Q24" s="110" t="s">
        <v>405</v>
      </c>
      <c r="R24" s="110" t="s">
        <v>380</v>
      </c>
      <c r="S24" s="110" t="s">
        <v>406</v>
      </c>
      <c r="T24" s="110" t="s">
        <v>407</v>
      </c>
      <c r="U24" s="110" t="s">
        <v>408</v>
      </c>
      <c r="V24" s="110" t="s">
        <v>405</v>
      </c>
      <c r="W24" s="113" t="s">
        <v>409</v>
      </c>
      <c r="X24" s="113" t="s">
        <v>410</v>
      </c>
      <c r="Y24" s="113" t="s">
        <v>411</v>
      </c>
      <c r="Z24" s="54" t="s">
        <v>385</v>
      </c>
    </row>
    <row r="25" spans="1:28" ht="16.5" customHeight="1" x14ac:dyDescent="0.25">
      <c r="A25" s="110">
        <v>1</v>
      </c>
      <c r="B25" s="111">
        <v>2</v>
      </c>
      <c r="C25" s="110">
        <v>3</v>
      </c>
      <c r="D25" s="111">
        <v>4</v>
      </c>
      <c r="E25" s="110">
        <v>5</v>
      </c>
      <c r="F25" s="111">
        <v>6</v>
      </c>
      <c r="G25" s="110">
        <v>7</v>
      </c>
      <c r="H25" s="111">
        <v>8</v>
      </c>
      <c r="I25" s="110">
        <v>9</v>
      </c>
      <c r="J25" s="111">
        <v>10</v>
      </c>
      <c r="K25" s="110">
        <v>11</v>
      </c>
      <c r="L25" s="111">
        <v>12</v>
      </c>
      <c r="M25" s="110">
        <v>13</v>
      </c>
      <c r="N25" s="111">
        <v>14</v>
      </c>
      <c r="O25" s="110">
        <v>15</v>
      </c>
      <c r="P25" s="111">
        <v>16</v>
      </c>
      <c r="Q25" s="110">
        <v>17</v>
      </c>
      <c r="R25" s="111">
        <v>18</v>
      </c>
      <c r="S25" s="110">
        <v>19</v>
      </c>
      <c r="T25" s="111">
        <v>20</v>
      </c>
      <c r="U25" s="110">
        <v>21</v>
      </c>
      <c r="V25" s="111">
        <v>22</v>
      </c>
      <c r="W25" s="110">
        <v>23</v>
      </c>
      <c r="X25" s="111">
        <v>24</v>
      </c>
      <c r="Y25" s="110">
        <v>25</v>
      </c>
      <c r="Z25" s="111">
        <v>26</v>
      </c>
    </row>
    <row r="26" spans="1:28" ht="45.75" customHeight="1" x14ac:dyDescent="0.25">
      <c r="A26" s="16" t="s">
        <v>386</v>
      </c>
      <c r="B26" s="16"/>
      <c r="C26" s="55" t="s">
        <v>412</v>
      </c>
      <c r="D26" s="55" t="s">
        <v>413</v>
      </c>
      <c r="E26" s="55" t="s">
        <v>414</v>
      </c>
      <c r="F26" s="55" t="s">
        <v>415</v>
      </c>
      <c r="G26" s="55" t="s">
        <v>416</v>
      </c>
      <c r="H26" s="55" t="s">
        <v>380</v>
      </c>
      <c r="I26" s="55" t="s">
        <v>417</v>
      </c>
      <c r="J26" s="55" t="s">
        <v>418</v>
      </c>
      <c r="K26" s="114"/>
      <c r="L26" s="55" t="s">
        <v>387</v>
      </c>
      <c r="M26" s="56" t="s">
        <v>298</v>
      </c>
      <c r="N26" s="114" t="s">
        <v>300</v>
      </c>
      <c r="O26" s="114" t="s">
        <v>300</v>
      </c>
      <c r="P26" s="114" t="s">
        <v>300</v>
      </c>
      <c r="Q26" s="114" t="s">
        <v>300</v>
      </c>
      <c r="R26" s="114" t="s">
        <v>300</v>
      </c>
      <c r="S26" s="114" t="s">
        <v>300</v>
      </c>
      <c r="T26" s="114" t="s">
        <v>300</v>
      </c>
      <c r="U26" s="114" t="s">
        <v>300</v>
      </c>
      <c r="V26" s="114" t="s">
        <v>300</v>
      </c>
      <c r="W26" s="114" t="s">
        <v>300</v>
      </c>
      <c r="X26" s="114" t="s">
        <v>300</v>
      </c>
      <c r="Y26" s="114" t="s">
        <v>300</v>
      </c>
      <c r="Z26" s="115" t="s">
        <v>388</v>
      </c>
    </row>
    <row r="27" spans="1:28" x14ac:dyDescent="0.25">
      <c r="A27" s="114" t="s">
        <v>389</v>
      </c>
      <c r="B27" s="114" t="s">
        <v>390</v>
      </c>
      <c r="C27" s="114" t="s">
        <v>300</v>
      </c>
      <c r="D27" s="114" t="s">
        <v>300</v>
      </c>
      <c r="E27" s="114" t="s">
        <v>300</v>
      </c>
      <c r="F27" s="114" t="s">
        <v>300</v>
      </c>
      <c r="G27" s="114" t="s">
        <v>300</v>
      </c>
      <c r="H27" s="114" t="s">
        <v>300</v>
      </c>
      <c r="I27" s="114" t="s">
        <v>300</v>
      </c>
      <c r="J27" s="114" t="s">
        <v>300</v>
      </c>
      <c r="K27" s="55" t="s">
        <v>391</v>
      </c>
      <c r="L27" s="114" t="s">
        <v>300</v>
      </c>
      <c r="M27" s="55" t="s">
        <v>299</v>
      </c>
      <c r="N27" s="114" t="s">
        <v>300</v>
      </c>
      <c r="O27" s="114" t="s">
        <v>300</v>
      </c>
      <c r="P27" s="114" t="s">
        <v>300</v>
      </c>
      <c r="Q27" s="114" t="s">
        <v>300</v>
      </c>
      <c r="R27" s="114" t="s">
        <v>300</v>
      </c>
      <c r="S27" s="114" t="s">
        <v>300</v>
      </c>
      <c r="T27" s="114" t="s">
        <v>300</v>
      </c>
      <c r="U27" s="114" t="s">
        <v>300</v>
      </c>
      <c r="V27" s="114" t="s">
        <v>300</v>
      </c>
      <c r="W27" s="114" t="s">
        <v>300</v>
      </c>
      <c r="X27" s="114" t="s">
        <v>300</v>
      </c>
      <c r="Y27" s="114" t="s">
        <v>300</v>
      </c>
      <c r="Z27" s="114" t="s">
        <v>300</v>
      </c>
    </row>
    <row r="28" spans="1:28" x14ac:dyDescent="0.25">
      <c r="A28" s="114" t="s">
        <v>389</v>
      </c>
      <c r="B28" s="114" t="s">
        <v>392</v>
      </c>
      <c r="C28" s="114" t="s">
        <v>300</v>
      </c>
      <c r="D28" s="114" t="s">
        <v>300</v>
      </c>
      <c r="E28" s="114" t="s">
        <v>300</v>
      </c>
      <c r="F28" s="114" t="s">
        <v>300</v>
      </c>
      <c r="G28" s="114" t="s">
        <v>300</v>
      </c>
      <c r="H28" s="114" t="s">
        <v>300</v>
      </c>
      <c r="I28" s="114" t="s">
        <v>300</v>
      </c>
      <c r="J28" s="114" t="s">
        <v>300</v>
      </c>
      <c r="K28" s="55" t="s">
        <v>393</v>
      </c>
      <c r="L28" s="114" t="s">
        <v>300</v>
      </c>
      <c r="M28" s="55" t="s">
        <v>394</v>
      </c>
      <c r="N28" s="114" t="s">
        <v>300</v>
      </c>
      <c r="O28" s="114" t="s">
        <v>300</v>
      </c>
      <c r="P28" s="114" t="s">
        <v>300</v>
      </c>
      <c r="Q28" s="114" t="s">
        <v>300</v>
      </c>
      <c r="R28" s="114" t="s">
        <v>300</v>
      </c>
      <c r="S28" s="114" t="s">
        <v>300</v>
      </c>
      <c r="T28" s="114" t="s">
        <v>300</v>
      </c>
      <c r="U28" s="114" t="s">
        <v>300</v>
      </c>
      <c r="V28" s="114" t="s">
        <v>300</v>
      </c>
      <c r="W28" s="114" t="s">
        <v>300</v>
      </c>
      <c r="X28" s="114" t="s">
        <v>300</v>
      </c>
      <c r="Y28" s="114" t="s">
        <v>300</v>
      </c>
      <c r="Z28" s="114" t="s">
        <v>300</v>
      </c>
    </row>
    <row r="29" spans="1:28" x14ac:dyDescent="0.25">
      <c r="A29" s="114" t="s">
        <v>389</v>
      </c>
      <c r="B29" s="114" t="s">
        <v>395</v>
      </c>
      <c r="C29" s="114" t="s">
        <v>300</v>
      </c>
      <c r="D29" s="114" t="s">
        <v>300</v>
      </c>
      <c r="E29" s="114" t="s">
        <v>300</v>
      </c>
      <c r="F29" s="114" t="s">
        <v>300</v>
      </c>
      <c r="G29" s="114" t="s">
        <v>300</v>
      </c>
      <c r="H29" s="114" t="s">
        <v>300</v>
      </c>
      <c r="I29" s="114" t="s">
        <v>300</v>
      </c>
      <c r="J29" s="114" t="s">
        <v>300</v>
      </c>
      <c r="K29" s="55" t="s">
        <v>396</v>
      </c>
      <c r="L29" s="114" t="s">
        <v>300</v>
      </c>
      <c r="M29" s="114" t="s">
        <v>300</v>
      </c>
      <c r="N29" s="114" t="s">
        <v>300</v>
      </c>
      <c r="O29" s="114" t="s">
        <v>300</v>
      </c>
      <c r="P29" s="114" t="s">
        <v>300</v>
      </c>
      <c r="Q29" s="114" t="s">
        <v>300</v>
      </c>
      <c r="R29" s="114" t="s">
        <v>300</v>
      </c>
      <c r="S29" s="114" t="s">
        <v>300</v>
      </c>
      <c r="T29" s="114" t="s">
        <v>300</v>
      </c>
      <c r="U29" s="114" t="s">
        <v>300</v>
      </c>
      <c r="V29" s="114" t="s">
        <v>300</v>
      </c>
      <c r="W29" s="114" t="s">
        <v>300</v>
      </c>
      <c r="X29" s="114" t="s">
        <v>300</v>
      </c>
      <c r="Y29" s="114" t="s">
        <v>300</v>
      </c>
      <c r="Z29" s="114" t="s">
        <v>300</v>
      </c>
    </row>
    <row r="30" spans="1:28" x14ac:dyDescent="0.25">
      <c r="A30" s="114" t="s">
        <v>389</v>
      </c>
      <c r="B30" s="114" t="s">
        <v>397</v>
      </c>
      <c r="C30" s="114" t="s">
        <v>300</v>
      </c>
      <c r="D30" s="114" t="s">
        <v>300</v>
      </c>
      <c r="E30" s="114" t="s">
        <v>300</v>
      </c>
      <c r="F30" s="114" t="s">
        <v>300</v>
      </c>
      <c r="G30" s="114" t="s">
        <v>300</v>
      </c>
      <c r="H30" s="114" t="s">
        <v>300</v>
      </c>
      <c r="I30" s="114" t="s">
        <v>300</v>
      </c>
      <c r="J30" s="114" t="s">
        <v>300</v>
      </c>
      <c r="K30" s="55" t="s">
        <v>398</v>
      </c>
      <c r="L30" s="114" t="s">
        <v>300</v>
      </c>
      <c r="M30" s="114" t="s">
        <v>300</v>
      </c>
      <c r="N30" s="114" t="s">
        <v>300</v>
      </c>
      <c r="O30" s="114" t="s">
        <v>300</v>
      </c>
      <c r="P30" s="114" t="s">
        <v>300</v>
      </c>
      <c r="Q30" s="114" t="s">
        <v>300</v>
      </c>
      <c r="R30" s="114" t="s">
        <v>300</v>
      </c>
      <c r="S30" s="114" t="s">
        <v>300</v>
      </c>
      <c r="T30" s="114" t="s">
        <v>300</v>
      </c>
      <c r="U30" s="114" t="s">
        <v>300</v>
      </c>
      <c r="V30" s="114" t="s">
        <v>300</v>
      </c>
      <c r="W30" s="114" t="s">
        <v>300</v>
      </c>
      <c r="X30" s="114" t="s">
        <v>300</v>
      </c>
      <c r="Y30" s="114" t="s">
        <v>300</v>
      </c>
      <c r="Z30" s="114" t="s">
        <v>300</v>
      </c>
    </row>
    <row r="31" spans="1:28" x14ac:dyDescent="0.25">
      <c r="A31" s="114" t="s">
        <v>394</v>
      </c>
      <c r="B31" s="114" t="s">
        <v>394</v>
      </c>
      <c r="C31" s="114" t="s">
        <v>394</v>
      </c>
      <c r="D31" s="114" t="s">
        <v>394</v>
      </c>
      <c r="E31" s="114" t="s">
        <v>394</v>
      </c>
      <c r="F31" s="114" t="s">
        <v>394</v>
      </c>
      <c r="G31" s="114" t="s">
        <v>394</v>
      </c>
      <c r="H31" s="114" t="s">
        <v>394</v>
      </c>
      <c r="I31" s="114" t="s">
        <v>394</v>
      </c>
      <c r="J31" s="114" t="s">
        <v>394</v>
      </c>
      <c r="K31" s="114" t="s">
        <v>394</v>
      </c>
      <c r="L31" s="114" t="s">
        <v>300</v>
      </c>
      <c r="M31" s="114" t="s">
        <v>300</v>
      </c>
      <c r="N31" s="114" t="s">
        <v>300</v>
      </c>
      <c r="O31" s="114" t="s">
        <v>300</v>
      </c>
      <c r="P31" s="114" t="s">
        <v>300</v>
      </c>
      <c r="Q31" s="114" t="s">
        <v>300</v>
      </c>
      <c r="R31" s="114" t="s">
        <v>300</v>
      </c>
      <c r="S31" s="114" t="s">
        <v>300</v>
      </c>
      <c r="T31" s="114" t="s">
        <v>300</v>
      </c>
      <c r="U31" s="114" t="s">
        <v>300</v>
      </c>
      <c r="V31" s="114" t="s">
        <v>300</v>
      </c>
      <c r="W31" s="114" t="s">
        <v>300</v>
      </c>
      <c r="X31" s="114" t="s">
        <v>300</v>
      </c>
      <c r="Y31" s="114" t="s">
        <v>300</v>
      </c>
      <c r="Z31" s="114" t="s">
        <v>300</v>
      </c>
    </row>
    <row r="32" spans="1:28" ht="30" x14ac:dyDescent="0.25">
      <c r="A32" s="16" t="s">
        <v>386</v>
      </c>
      <c r="B32" s="16"/>
      <c r="C32" s="55" t="s">
        <v>419</v>
      </c>
      <c r="D32" s="55" t="s">
        <v>420</v>
      </c>
      <c r="E32" s="55" t="s">
        <v>421</v>
      </c>
      <c r="F32" s="55" t="s">
        <v>422</v>
      </c>
      <c r="G32" s="55" t="s">
        <v>423</v>
      </c>
      <c r="H32" s="55" t="s">
        <v>380</v>
      </c>
      <c r="I32" s="55" t="s">
        <v>424</v>
      </c>
      <c r="J32" s="55" t="s">
        <v>425</v>
      </c>
      <c r="K32" s="114"/>
      <c r="L32" s="114" t="s">
        <v>300</v>
      </c>
      <c r="M32" s="114" t="s">
        <v>300</v>
      </c>
      <c r="N32" s="114" t="s">
        <v>300</v>
      </c>
      <c r="O32" s="114" t="s">
        <v>300</v>
      </c>
      <c r="P32" s="114" t="s">
        <v>300</v>
      </c>
      <c r="Q32" s="114" t="s">
        <v>300</v>
      </c>
      <c r="R32" s="114" t="s">
        <v>300</v>
      </c>
      <c r="S32" s="114" t="s">
        <v>300</v>
      </c>
      <c r="T32" s="114" t="s">
        <v>300</v>
      </c>
      <c r="U32" s="114" t="s">
        <v>300</v>
      </c>
      <c r="V32" s="114" t="s">
        <v>300</v>
      </c>
      <c r="W32" s="114" t="s">
        <v>300</v>
      </c>
      <c r="X32" s="114" t="s">
        <v>300</v>
      </c>
      <c r="Y32" s="114" t="s">
        <v>300</v>
      </c>
      <c r="Z32" s="114" t="s">
        <v>300</v>
      </c>
    </row>
    <row r="33" spans="1:26" x14ac:dyDescent="0.25">
      <c r="A33" s="114" t="s">
        <v>394</v>
      </c>
      <c r="B33" s="114" t="s">
        <v>394</v>
      </c>
      <c r="C33" s="114" t="s">
        <v>394</v>
      </c>
      <c r="D33" s="114" t="s">
        <v>394</v>
      </c>
      <c r="E33" s="114" t="s">
        <v>394</v>
      </c>
      <c r="F33" s="114" t="s">
        <v>394</v>
      </c>
      <c r="G33" s="114" t="s">
        <v>394</v>
      </c>
      <c r="H33" s="114" t="s">
        <v>394</v>
      </c>
      <c r="I33" s="114" t="s">
        <v>394</v>
      </c>
      <c r="J33" s="114" t="s">
        <v>394</v>
      </c>
      <c r="K33" s="114" t="s">
        <v>394</v>
      </c>
      <c r="L33" s="114" t="s">
        <v>300</v>
      </c>
      <c r="M33" s="114" t="s">
        <v>300</v>
      </c>
      <c r="N33" s="114" t="s">
        <v>300</v>
      </c>
      <c r="O33" s="114" t="s">
        <v>300</v>
      </c>
      <c r="P33" s="114" t="s">
        <v>300</v>
      </c>
      <c r="Q33" s="114" t="s">
        <v>300</v>
      </c>
      <c r="R33" s="114" t="s">
        <v>300</v>
      </c>
      <c r="S33" s="114" t="s">
        <v>300</v>
      </c>
      <c r="T33" s="114" t="s">
        <v>300</v>
      </c>
      <c r="U33" s="114" t="s">
        <v>300</v>
      </c>
      <c r="V33" s="114" t="s">
        <v>300</v>
      </c>
      <c r="W33" s="114" t="s">
        <v>300</v>
      </c>
      <c r="X33" s="114" t="s">
        <v>300</v>
      </c>
      <c r="Y33" s="114" t="s">
        <v>300</v>
      </c>
      <c r="Z33" s="114" t="s">
        <v>300</v>
      </c>
    </row>
    <row r="37" spans="1:26" x14ac:dyDescent="0.25">
      <c r="A37" s="116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3" sqref="A13:T13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7" t="str">
        <f>'1. паспорт местоположение'!$A$5</f>
        <v>Год раскрытия информации: 2024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ht="15.75" x14ac:dyDescent="0.2">
      <c r="A7" s="28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M_Che425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42" customFormat="1" ht="15.75" customHeight="1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s="43" customFormat="1" ht="15.75" x14ac:dyDescent="0.2">
      <c r="A16" s="212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</row>
    <row r="17" spans="1:20" s="43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20" ht="96" customHeight="1" x14ac:dyDescent="0.25">
      <c r="A18" s="247" t="s">
        <v>426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</row>
    <row r="19" spans="1:20" ht="15.75" customHeight="1" x14ac:dyDescent="0.25">
      <c r="A19" s="216" t="s">
        <v>1</v>
      </c>
      <c r="B19" s="216" t="s">
        <v>427</v>
      </c>
      <c r="C19" s="216" t="s">
        <v>428</v>
      </c>
      <c r="D19" s="216" t="s">
        <v>429</v>
      </c>
      <c r="E19" s="248" t="s">
        <v>430</v>
      </c>
      <c r="F19" s="249"/>
      <c r="G19" s="249"/>
      <c r="H19" s="249"/>
      <c r="I19" s="250"/>
      <c r="J19" s="248" t="s">
        <v>431</v>
      </c>
      <c r="K19" s="249"/>
      <c r="L19" s="249"/>
      <c r="M19" s="249"/>
      <c r="N19" s="249"/>
      <c r="O19" s="250"/>
    </row>
    <row r="20" spans="1:20" ht="123" customHeight="1" x14ac:dyDescent="0.25">
      <c r="A20" s="216"/>
      <c r="B20" s="216"/>
      <c r="C20" s="216"/>
      <c r="D20" s="216"/>
      <c r="E20" s="105" t="s">
        <v>432</v>
      </c>
      <c r="F20" s="105" t="s">
        <v>433</v>
      </c>
      <c r="G20" s="105" t="s">
        <v>434</v>
      </c>
      <c r="H20" s="105" t="s">
        <v>435</v>
      </c>
      <c r="I20" s="105" t="s">
        <v>64</v>
      </c>
      <c r="J20" s="105" t="s">
        <v>436</v>
      </c>
      <c r="K20" s="105" t="s">
        <v>437</v>
      </c>
      <c r="L20" s="106" t="s">
        <v>438</v>
      </c>
      <c r="M20" s="107" t="s">
        <v>439</v>
      </c>
      <c r="N20" s="107" t="s">
        <v>440</v>
      </c>
      <c r="O20" s="107" t="s">
        <v>441</v>
      </c>
    </row>
    <row r="21" spans="1:20" ht="15.75" x14ac:dyDescent="0.25">
      <c r="A21" s="108">
        <v>1</v>
      </c>
      <c r="B21" s="109">
        <v>2</v>
      </c>
      <c r="C21" s="108">
        <v>3</v>
      </c>
      <c r="D21" s="109">
        <v>4</v>
      </c>
      <c r="E21" s="108">
        <v>5</v>
      </c>
      <c r="F21" s="109">
        <v>6</v>
      </c>
      <c r="G21" s="108">
        <v>7</v>
      </c>
      <c r="H21" s="109">
        <v>8</v>
      </c>
      <c r="I21" s="108">
        <v>9</v>
      </c>
      <c r="J21" s="109">
        <v>10</v>
      </c>
      <c r="K21" s="108">
        <v>11</v>
      </c>
      <c r="L21" s="109">
        <v>12</v>
      </c>
      <c r="M21" s="108">
        <v>13</v>
      </c>
      <c r="N21" s="109">
        <v>14</v>
      </c>
      <c r="O21" s="108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2" sqref="A12:F12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11" t="s">
        <v>5</v>
      </c>
      <c r="B7" s="211"/>
      <c r="C7" s="211"/>
      <c r="D7" s="211"/>
      <c r="E7" s="211"/>
      <c r="F7" s="211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12" t="s">
        <v>286</v>
      </c>
      <c r="B9" s="212"/>
      <c r="C9" s="212"/>
      <c r="D9" s="212"/>
      <c r="E9" s="212"/>
      <c r="F9" s="212"/>
    </row>
    <row r="10" spans="1:6" ht="15.75" x14ac:dyDescent="0.25">
      <c r="A10" s="213" t="s">
        <v>4</v>
      </c>
      <c r="B10" s="213"/>
      <c r="C10" s="213"/>
      <c r="D10" s="213"/>
      <c r="E10" s="213"/>
      <c r="F10" s="213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12" t="str">
        <f>'1. паспорт местоположение'!A12:C12</f>
        <v>M_Che425</v>
      </c>
      <c r="B12" s="212"/>
      <c r="C12" s="212"/>
      <c r="D12" s="212"/>
      <c r="E12" s="212"/>
      <c r="F12" s="212"/>
    </row>
    <row r="13" spans="1:6" ht="15.75" x14ac:dyDescent="0.25">
      <c r="A13" s="213" t="s">
        <v>3</v>
      </c>
      <c r="B13" s="213"/>
      <c r="C13" s="213"/>
      <c r="D13" s="213"/>
      <c r="E13" s="213"/>
      <c r="F13" s="213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14" t="str">
        <f>'1. паспорт местоположение'!A15:C15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4"/>
      <c r="C15" s="214"/>
      <c r="D15" s="214"/>
      <c r="E15" s="214"/>
      <c r="F15" s="214"/>
    </row>
    <row r="16" spans="1:6" ht="15.75" x14ac:dyDescent="0.25">
      <c r="A16" s="213" t="s">
        <v>2</v>
      </c>
      <c r="B16" s="213"/>
      <c r="C16" s="213"/>
      <c r="D16" s="213"/>
      <c r="E16" s="213"/>
      <c r="F16" s="213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23" t="s">
        <v>290</v>
      </c>
      <c r="B18" s="223"/>
      <c r="C18" s="223"/>
      <c r="D18" s="223"/>
      <c r="E18" s="223"/>
      <c r="F18" s="223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4" t="s">
        <v>291</v>
      </c>
      <c r="C21" s="255"/>
      <c r="D21" s="255"/>
      <c r="E21" s="256"/>
      <c r="F21" s="31"/>
    </row>
    <row r="22" spans="1:6" ht="15.75" x14ac:dyDescent="0.25">
      <c r="A22" s="31"/>
      <c r="B22" s="251" t="s">
        <v>292</v>
      </c>
      <c r="C22" s="252"/>
      <c r="D22" s="252" t="s">
        <v>293</v>
      </c>
      <c r="E22" s="253"/>
      <c r="F22" s="31"/>
    </row>
    <row r="23" spans="1:6" ht="63" x14ac:dyDescent="0.25">
      <c r="A23" s="31"/>
      <c r="B23" s="99" t="s">
        <v>294</v>
      </c>
      <c r="C23" s="170" t="s">
        <v>465</v>
      </c>
      <c r="D23" s="100" t="s">
        <v>295</v>
      </c>
      <c r="E23" s="101" t="s">
        <v>296</v>
      </c>
      <c r="F23" s="31"/>
    </row>
    <row r="24" spans="1:6" ht="15.75" x14ac:dyDescent="0.25">
      <c r="A24" s="31"/>
      <c r="B24" s="102">
        <v>-131.07146672485001</v>
      </c>
      <c r="C24" s="103">
        <v>0.15</v>
      </c>
      <c r="D24" s="104">
        <v>14</v>
      </c>
      <c r="E24" s="104" t="s">
        <v>297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55" zoomScaleNormal="100" zoomScaleSheetLayoutView="55" workbookViewId="0">
      <selection activeCell="J46" sqref="J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7" t="str">
        <f>'1. паспорт местоположение'!$A$5</f>
        <v>Год раскрытия информации: 2024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44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</row>
    <row r="9" spans="1:44" x14ac:dyDescent="0.25">
      <c r="A9" s="212" t="str">
        <f>'3.3 паспорт описание'!A9:C9</f>
        <v>АО "Чеченэнерго"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44" x14ac:dyDescent="0.25">
      <c r="A11" s="24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44" x14ac:dyDescent="0.25">
      <c r="A12" s="212" t="str">
        <f>'3.3 паспорт описание'!A12:C12</f>
        <v>M_Che425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44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44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</row>
    <row r="15" spans="1:44" ht="30" customHeight="1" x14ac:dyDescent="0.25">
      <c r="A15" s="214" t="str">
        <f>'3.3 паспорт описание'!A15:C15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44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69" t="s">
        <v>272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1" t="s">
        <v>158</v>
      </c>
      <c r="B21" s="261" t="s">
        <v>157</v>
      </c>
      <c r="C21" s="264" t="s">
        <v>218</v>
      </c>
      <c r="D21" s="265"/>
      <c r="E21" s="265"/>
      <c r="F21" s="265"/>
      <c r="G21" s="265"/>
      <c r="H21" s="266"/>
      <c r="I21" s="258" t="s">
        <v>156</v>
      </c>
      <c r="J21" s="258" t="s">
        <v>220</v>
      </c>
      <c r="K21" s="261" t="s">
        <v>155</v>
      </c>
      <c r="L21" s="270" t="s">
        <v>219</v>
      </c>
    </row>
    <row r="22" spans="1:12" ht="58.5" customHeight="1" x14ac:dyDescent="0.25">
      <c r="A22" s="262"/>
      <c r="B22" s="262"/>
      <c r="C22" s="267" t="s">
        <v>0</v>
      </c>
      <c r="D22" s="268"/>
      <c r="E22" s="19"/>
      <c r="F22" s="20"/>
      <c r="G22" s="267" t="s">
        <v>7</v>
      </c>
      <c r="H22" s="268"/>
      <c r="I22" s="259"/>
      <c r="J22" s="259"/>
      <c r="K22" s="262"/>
      <c r="L22" s="271"/>
    </row>
    <row r="23" spans="1:12" ht="34.5" customHeight="1" x14ac:dyDescent="0.25">
      <c r="A23" s="263"/>
      <c r="B23" s="263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60"/>
      <c r="J23" s="260"/>
      <c r="K23" s="263"/>
      <c r="L23" s="272"/>
    </row>
    <row r="24" spans="1:12" x14ac:dyDescent="0.25">
      <c r="A24" s="140">
        <v>1</v>
      </c>
      <c r="B24" s="140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1">
        <v>1</v>
      </c>
      <c r="B25" s="97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1" t="s">
        <v>151</v>
      </c>
      <c r="B26" s="4" t="s">
        <v>225</v>
      </c>
      <c r="C26" s="175">
        <v>44294</v>
      </c>
      <c r="D26" s="175">
        <v>44294</v>
      </c>
      <c r="E26" s="38" t="s">
        <v>287</v>
      </c>
      <c r="F26" s="38" t="s">
        <v>287</v>
      </c>
      <c r="G26" s="175">
        <v>44294</v>
      </c>
      <c r="H26" s="175">
        <v>44294</v>
      </c>
      <c r="I26" s="39" t="s">
        <v>300</v>
      </c>
      <c r="J26" s="39" t="s">
        <v>300</v>
      </c>
      <c r="K26" s="39" t="s">
        <v>300</v>
      </c>
      <c r="L26" s="39" t="s">
        <v>300</v>
      </c>
    </row>
    <row r="27" spans="1:12" s="37" customFormat="1" ht="39" customHeight="1" x14ac:dyDescent="0.25">
      <c r="A27" s="141" t="s">
        <v>150</v>
      </c>
      <c r="B27" s="4" t="s">
        <v>227</v>
      </c>
      <c r="C27" s="175" t="s">
        <v>300</v>
      </c>
      <c r="D27" s="175" t="s">
        <v>300</v>
      </c>
      <c r="E27" s="38" t="s">
        <v>287</v>
      </c>
      <c r="F27" s="38" t="s">
        <v>287</v>
      </c>
      <c r="G27" s="175" t="s">
        <v>300</v>
      </c>
      <c r="H27" s="175" t="s">
        <v>300</v>
      </c>
      <c r="I27" s="39" t="s">
        <v>300</v>
      </c>
      <c r="J27" s="39" t="s">
        <v>300</v>
      </c>
      <c r="K27" s="39" t="s">
        <v>300</v>
      </c>
      <c r="L27" s="39" t="s">
        <v>300</v>
      </c>
    </row>
    <row r="28" spans="1:12" s="37" customFormat="1" ht="70.5" customHeight="1" x14ac:dyDescent="0.25">
      <c r="A28" s="141" t="s">
        <v>226</v>
      </c>
      <c r="B28" s="4" t="s">
        <v>231</v>
      </c>
      <c r="C28" s="175" t="s">
        <v>300</v>
      </c>
      <c r="D28" s="175" t="s">
        <v>300</v>
      </c>
      <c r="E28" s="38" t="s">
        <v>287</v>
      </c>
      <c r="F28" s="38" t="s">
        <v>287</v>
      </c>
      <c r="G28" s="175" t="s">
        <v>300</v>
      </c>
      <c r="H28" s="175" t="s">
        <v>300</v>
      </c>
      <c r="I28" s="39" t="s">
        <v>300</v>
      </c>
      <c r="J28" s="39" t="s">
        <v>300</v>
      </c>
      <c r="K28" s="39" t="s">
        <v>300</v>
      </c>
      <c r="L28" s="39" t="s">
        <v>300</v>
      </c>
    </row>
    <row r="29" spans="1:12" s="37" customFormat="1" ht="54" customHeight="1" x14ac:dyDescent="0.25">
      <c r="A29" s="141" t="s">
        <v>149</v>
      </c>
      <c r="B29" s="4" t="s">
        <v>230</v>
      </c>
      <c r="C29" s="175" t="s">
        <v>300</v>
      </c>
      <c r="D29" s="175" t="s">
        <v>300</v>
      </c>
      <c r="E29" s="38" t="s">
        <v>287</v>
      </c>
      <c r="F29" s="38" t="s">
        <v>287</v>
      </c>
      <c r="G29" s="175" t="s">
        <v>300</v>
      </c>
      <c r="H29" s="175" t="s">
        <v>300</v>
      </c>
      <c r="I29" s="39" t="s">
        <v>300</v>
      </c>
      <c r="J29" s="39" t="s">
        <v>300</v>
      </c>
      <c r="K29" s="39" t="s">
        <v>300</v>
      </c>
      <c r="L29" s="39" t="s">
        <v>300</v>
      </c>
    </row>
    <row r="30" spans="1:12" s="37" customFormat="1" ht="63.75" customHeight="1" x14ac:dyDescent="0.25">
      <c r="A30" s="141" t="s">
        <v>148</v>
      </c>
      <c r="B30" s="4" t="s">
        <v>232</v>
      </c>
      <c r="C30" s="175" t="s">
        <v>300</v>
      </c>
      <c r="D30" s="175" t="s">
        <v>300</v>
      </c>
      <c r="E30" s="34"/>
      <c r="F30" s="34"/>
      <c r="G30" s="175" t="s">
        <v>300</v>
      </c>
      <c r="H30" s="175" t="s">
        <v>300</v>
      </c>
      <c r="I30" s="39" t="s">
        <v>300</v>
      </c>
      <c r="J30" s="39" t="s">
        <v>300</v>
      </c>
      <c r="K30" s="39" t="s">
        <v>300</v>
      </c>
      <c r="L30" s="39" t="s">
        <v>300</v>
      </c>
    </row>
    <row r="31" spans="1:12" s="37" customFormat="1" ht="54" customHeight="1" x14ac:dyDescent="0.25">
      <c r="A31" s="141" t="s">
        <v>147</v>
      </c>
      <c r="B31" s="98" t="s">
        <v>228</v>
      </c>
      <c r="C31" s="175">
        <v>44407</v>
      </c>
      <c r="D31" s="175">
        <v>44407</v>
      </c>
      <c r="E31" s="34"/>
      <c r="F31" s="34"/>
      <c r="G31" s="175">
        <v>44407</v>
      </c>
      <c r="H31" s="175">
        <v>44407</v>
      </c>
      <c r="I31" s="39">
        <v>1</v>
      </c>
      <c r="J31" s="39" t="s">
        <v>300</v>
      </c>
      <c r="K31" s="39" t="s">
        <v>300</v>
      </c>
      <c r="L31" s="39" t="s">
        <v>300</v>
      </c>
    </row>
    <row r="32" spans="1:12" s="37" customFormat="1" ht="31.5" x14ac:dyDescent="0.25">
      <c r="A32" s="141" t="s">
        <v>145</v>
      </c>
      <c r="B32" s="98" t="s">
        <v>233</v>
      </c>
      <c r="C32" s="175">
        <v>44419</v>
      </c>
      <c r="D32" s="175">
        <v>44419</v>
      </c>
      <c r="E32" s="34"/>
      <c r="F32" s="34"/>
      <c r="G32" s="175">
        <v>44419</v>
      </c>
      <c r="H32" s="175">
        <v>44419</v>
      </c>
      <c r="I32" s="39">
        <v>1</v>
      </c>
      <c r="J32" s="39" t="s">
        <v>300</v>
      </c>
      <c r="K32" s="39" t="s">
        <v>300</v>
      </c>
      <c r="L32" s="39" t="s">
        <v>300</v>
      </c>
    </row>
    <row r="33" spans="1:12" s="37" customFormat="1" ht="41.25" customHeight="1" x14ac:dyDescent="0.25">
      <c r="A33" s="141" t="s">
        <v>244</v>
      </c>
      <c r="B33" s="98" t="s">
        <v>172</v>
      </c>
      <c r="C33" s="147">
        <v>44476</v>
      </c>
      <c r="D33" s="147">
        <v>44476</v>
      </c>
      <c r="E33" s="34"/>
      <c r="F33" s="34"/>
      <c r="G33" s="147">
        <v>44476</v>
      </c>
      <c r="H33" s="147">
        <v>44476</v>
      </c>
      <c r="I33" s="39">
        <v>1</v>
      </c>
      <c r="J33" s="39" t="s">
        <v>300</v>
      </c>
      <c r="K33" s="39" t="s">
        <v>300</v>
      </c>
      <c r="L33" s="39" t="s">
        <v>300</v>
      </c>
    </row>
    <row r="34" spans="1:12" s="37" customFormat="1" ht="47.25" customHeight="1" x14ac:dyDescent="0.25">
      <c r="A34" s="141" t="s">
        <v>245</v>
      </c>
      <c r="B34" s="98" t="s">
        <v>237</v>
      </c>
      <c r="C34" s="175" t="s">
        <v>287</v>
      </c>
      <c r="D34" s="175" t="s">
        <v>287</v>
      </c>
      <c r="E34" s="38" t="s">
        <v>287</v>
      </c>
      <c r="F34" s="38" t="s">
        <v>287</v>
      </c>
      <c r="G34" s="175" t="s">
        <v>287</v>
      </c>
      <c r="H34" s="175" t="s">
        <v>287</v>
      </c>
      <c r="I34" s="39" t="s">
        <v>300</v>
      </c>
      <c r="J34" s="39" t="s">
        <v>300</v>
      </c>
      <c r="K34" s="39" t="s">
        <v>300</v>
      </c>
      <c r="L34" s="39" t="s">
        <v>300</v>
      </c>
    </row>
    <row r="35" spans="1:12" s="37" customFormat="1" ht="49.5" customHeight="1" x14ac:dyDescent="0.25">
      <c r="A35" s="141" t="s">
        <v>246</v>
      </c>
      <c r="B35" s="98" t="s">
        <v>146</v>
      </c>
      <c r="C35" s="175">
        <v>44547</v>
      </c>
      <c r="D35" s="175">
        <v>44547</v>
      </c>
      <c r="E35" s="40"/>
      <c r="F35" s="40"/>
      <c r="G35" s="175">
        <v>44547</v>
      </c>
      <c r="H35" s="175">
        <v>44547</v>
      </c>
      <c r="I35" s="39">
        <v>1</v>
      </c>
      <c r="J35" s="39" t="s">
        <v>300</v>
      </c>
      <c r="K35" s="39" t="s">
        <v>300</v>
      </c>
      <c r="L35" s="39" t="s">
        <v>300</v>
      </c>
    </row>
    <row r="36" spans="1:12" s="36" customFormat="1" ht="37.5" customHeight="1" x14ac:dyDescent="0.25">
      <c r="A36" s="141" t="s">
        <v>247</v>
      </c>
      <c r="B36" s="98" t="s">
        <v>229</v>
      </c>
      <c r="C36" s="175">
        <v>44880</v>
      </c>
      <c r="D36" s="175">
        <v>44895</v>
      </c>
      <c r="E36" s="38">
        <v>42884</v>
      </c>
      <c r="F36" s="38">
        <v>42884</v>
      </c>
      <c r="G36" s="175">
        <v>44880</v>
      </c>
      <c r="H36" s="175">
        <v>44895</v>
      </c>
      <c r="I36" s="39">
        <v>1</v>
      </c>
      <c r="J36" s="39" t="s">
        <v>300</v>
      </c>
      <c r="K36" s="39" t="s">
        <v>300</v>
      </c>
      <c r="L36" s="39" t="s">
        <v>300</v>
      </c>
    </row>
    <row r="37" spans="1:12" s="36" customFormat="1" ht="27" customHeight="1" x14ac:dyDescent="0.25">
      <c r="A37" s="141" t="s">
        <v>248</v>
      </c>
      <c r="B37" s="98" t="s">
        <v>144</v>
      </c>
      <c r="C37" s="146">
        <v>44407</v>
      </c>
      <c r="D37" s="146">
        <v>44419</v>
      </c>
      <c r="E37" s="41"/>
      <c r="F37" s="40"/>
      <c r="G37" s="146">
        <f>G31</f>
        <v>44407</v>
      </c>
      <c r="H37" s="146">
        <f>H32</f>
        <v>44419</v>
      </c>
      <c r="I37" s="39">
        <v>1</v>
      </c>
      <c r="J37" s="39" t="s">
        <v>300</v>
      </c>
      <c r="K37" s="39" t="s">
        <v>300</v>
      </c>
      <c r="L37" s="39" t="s">
        <v>300</v>
      </c>
    </row>
    <row r="38" spans="1:12" s="36" customFormat="1" ht="30.75" customHeight="1" x14ac:dyDescent="0.25">
      <c r="A38" s="141" t="s">
        <v>249</v>
      </c>
      <c r="B38" s="97" t="s">
        <v>143</v>
      </c>
      <c r="C38" s="175"/>
      <c r="D38" s="175"/>
      <c r="E38" s="4"/>
      <c r="F38" s="4"/>
      <c r="G38" s="175"/>
      <c r="H38" s="175"/>
      <c r="I38" s="39"/>
      <c r="J38" s="39"/>
      <c r="K38" s="4"/>
      <c r="L38" s="4"/>
    </row>
    <row r="39" spans="1:12" s="36" customFormat="1" ht="78.75" x14ac:dyDescent="0.25">
      <c r="A39" s="141">
        <v>2</v>
      </c>
      <c r="B39" s="98" t="s">
        <v>234</v>
      </c>
      <c r="C39" s="147">
        <v>44907</v>
      </c>
      <c r="D39" s="147">
        <v>44907</v>
      </c>
      <c r="E39" s="4"/>
      <c r="F39" s="4"/>
      <c r="G39" s="147">
        <v>44907</v>
      </c>
      <c r="H39" s="147">
        <v>44907</v>
      </c>
      <c r="I39" s="39">
        <v>1</v>
      </c>
      <c r="J39" s="39" t="s">
        <v>300</v>
      </c>
      <c r="K39" s="39" t="s">
        <v>300</v>
      </c>
      <c r="L39" s="39" t="s">
        <v>300</v>
      </c>
    </row>
    <row r="40" spans="1:12" s="36" customFormat="1" ht="33.75" customHeight="1" x14ac:dyDescent="0.25">
      <c r="A40" s="141" t="s">
        <v>142</v>
      </c>
      <c r="B40" s="98" t="s">
        <v>236</v>
      </c>
      <c r="C40" s="147">
        <v>44915</v>
      </c>
      <c r="D40" s="147">
        <v>44946</v>
      </c>
      <c r="E40" s="4"/>
      <c r="F40" s="4"/>
      <c r="G40" s="147">
        <v>44915</v>
      </c>
      <c r="H40" s="147">
        <v>44946</v>
      </c>
      <c r="I40" s="39">
        <v>1</v>
      </c>
      <c r="J40" s="39">
        <v>1</v>
      </c>
      <c r="K40" s="39" t="s">
        <v>300</v>
      </c>
      <c r="L40" s="39" t="s">
        <v>300</v>
      </c>
    </row>
    <row r="41" spans="1:12" s="36" customFormat="1" ht="63" customHeight="1" x14ac:dyDescent="0.25">
      <c r="A41" s="141" t="s">
        <v>141</v>
      </c>
      <c r="B41" s="97" t="s">
        <v>285</v>
      </c>
      <c r="C41" s="175"/>
      <c r="D41" s="175"/>
      <c r="E41" s="4"/>
      <c r="F41" s="4"/>
      <c r="G41" s="175"/>
      <c r="H41" s="175"/>
      <c r="I41" s="39"/>
      <c r="J41" s="39"/>
      <c r="K41" s="4"/>
      <c r="L41" s="4"/>
    </row>
    <row r="42" spans="1:12" s="36" customFormat="1" ht="58.5" customHeight="1" x14ac:dyDescent="0.25">
      <c r="A42" s="141">
        <v>3</v>
      </c>
      <c r="B42" s="98" t="s">
        <v>235</v>
      </c>
      <c r="C42" s="147">
        <v>44905</v>
      </c>
      <c r="D42" s="147">
        <v>44915</v>
      </c>
      <c r="E42" s="4"/>
      <c r="F42" s="4"/>
      <c r="G42" s="147">
        <v>44905</v>
      </c>
      <c r="H42" s="147">
        <v>44915</v>
      </c>
      <c r="I42" s="39">
        <v>1</v>
      </c>
      <c r="J42" s="39" t="s">
        <v>300</v>
      </c>
      <c r="K42" s="39" t="s">
        <v>300</v>
      </c>
      <c r="L42" s="39" t="s">
        <v>300</v>
      </c>
    </row>
    <row r="43" spans="1:12" s="36" customFormat="1" ht="34.5" customHeight="1" x14ac:dyDescent="0.25">
      <c r="A43" s="141" t="s">
        <v>140</v>
      </c>
      <c r="B43" s="98" t="s">
        <v>138</v>
      </c>
      <c r="C43" s="147">
        <v>44946</v>
      </c>
      <c r="D43" s="147">
        <v>45366</v>
      </c>
      <c r="E43" s="4"/>
      <c r="F43" s="4"/>
      <c r="G43" s="147">
        <v>44946</v>
      </c>
      <c r="H43" s="147">
        <v>45000</v>
      </c>
      <c r="I43" s="39">
        <v>1</v>
      </c>
      <c r="J43" s="39" t="s">
        <v>300</v>
      </c>
      <c r="K43" s="39" t="s">
        <v>300</v>
      </c>
      <c r="L43" s="39" t="s">
        <v>300</v>
      </c>
    </row>
    <row r="44" spans="1:12" s="36" customFormat="1" ht="24.75" customHeight="1" x14ac:dyDescent="0.25">
      <c r="A44" s="141" t="s">
        <v>139</v>
      </c>
      <c r="B44" s="98" t="s">
        <v>136</v>
      </c>
      <c r="C44" s="147">
        <v>44995</v>
      </c>
      <c r="D44" s="147">
        <v>45209</v>
      </c>
      <c r="E44" s="4"/>
      <c r="F44" s="4"/>
      <c r="G44" s="147">
        <v>44995</v>
      </c>
      <c r="H44" s="39" t="s">
        <v>300</v>
      </c>
      <c r="I44" s="39" t="s">
        <v>300</v>
      </c>
      <c r="J44" s="39" t="s">
        <v>300</v>
      </c>
      <c r="K44" s="39" t="s">
        <v>300</v>
      </c>
      <c r="L44" s="39" t="s">
        <v>300</v>
      </c>
    </row>
    <row r="45" spans="1:12" s="36" customFormat="1" ht="90.75" customHeight="1" x14ac:dyDescent="0.25">
      <c r="A45" s="141" t="s">
        <v>137</v>
      </c>
      <c r="B45" s="98" t="s">
        <v>240</v>
      </c>
      <c r="C45" s="175">
        <v>45209</v>
      </c>
      <c r="D45" s="147">
        <v>45376</v>
      </c>
      <c r="E45" s="38" t="s">
        <v>287</v>
      </c>
      <c r="F45" s="38" t="s">
        <v>287</v>
      </c>
      <c r="G45" s="39" t="s">
        <v>300</v>
      </c>
      <c r="H45" s="39" t="s">
        <v>300</v>
      </c>
      <c r="I45" s="39" t="s">
        <v>300</v>
      </c>
      <c r="J45" s="39" t="s">
        <v>300</v>
      </c>
      <c r="K45" s="39" t="s">
        <v>300</v>
      </c>
      <c r="L45" s="39" t="s">
        <v>300</v>
      </c>
    </row>
    <row r="46" spans="1:12" s="36" customFormat="1" ht="167.25" customHeight="1" x14ac:dyDescent="0.25">
      <c r="A46" s="141" t="s">
        <v>135</v>
      </c>
      <c r="B46" s="98" t="s">
        <v>238</v>
      </c>
      <c r="C46" s="175" t="s">
        <v>287</v>
      </c>
      <c r="D46" s="175" t="s">
        <v>287</v>
      </c>
      <c r="E46" s="38" t="s">
        <v>287</v>
      </c>
      <c r="F46" s="38" t="s">
        <v>287</v>
      </c>
      <c r="G46" s="39" t="s">
        <v>300</v>
      </c>
      <c r="H46" s="39" t="s">
        <v>300</v>
      </c>
      <c r="I46" s="39" t="s">
        <v>300</v>
      </c>
      <c r="J46" s="39" t="s">
        <v>300</v>
      </c>
      <c r="K46" s="39" t="s">
        <v>300</v>
      </c>
      <c r="L46" s="39" t="s">
        <v>300</v>
      </c>
    </row>
    <row r="47" spans="1:12" s="36" customFormat="1" ht="30.75" customHeight="1" x14ac:dyDescent="0.25">
      <c r="A47" s="141" t="s">
        <v>133</v>
      </c>
      <c r="B47" s="98" t="s">
        <v>134</v>
      </c>
      <c r="C47" s="147">
        <v>45376</v>
      </c>
      <c r="D47" s="147">
        <v>45384</v>
      </c>
      <c r="E47" s="4"/>
      <c r="F47" s="4"/>
      <c r="G47" s="39" t="s">
        <v>300</v>
      </c>
      <c r="H47" s="39" t="s">
        <v>300</v>
      </c>
      <c r="I47" s="39" t="s">
        <v>300</v>
      </c>
      <c r="J47" s="39" t="s">
        <v>300</v>
      </c>
      <c r="K47" s="39" t="s">
        <v>300</v>
      </c>
      <c r="L47" s="39" t="s">
        <v>300</v>
      </c>
    </row>
    <row r="48" spans="1:12" s="36" customFormat="1" ht="37.5" customHeight="1" x14ac:dyDescent="0.25">
      <c r="A48" s="141" t="s">
        <v>250</v>
      </c>
      <c r="B48" s="97" t="s">
        <v>132</v>
      </c>
      <c r="C48" s="175"/>
      <c r="D48" s="175"/>
      <c r="E48" s="4"/>
      <c r="F48" s="4"/>
      <c r="G48" s="39" t="s">
        <v>300</v>
      </c>
      <c r="H48" s="39" t="s">
        <v>300</v>
      </c>
      <c r="I48" s="39" t="s">
        <v>300</v>
      </c>
      <c r="J48" s="39"/>
      <c r="K48" s="4"/>
      <c r="L48" s="4"/>
    </row>
    <row r="49" spans="1:12" s="36" customFormat="1" ht="35.25" customHeight="1" x14ac:dyDescent="0.25">
      <c r="A49" s="141">
        <v>4</v>
      </c>
      <c r="B49" s="98" t="s">
        <v>130</v>
      </c>
      <c r="C49" s="147">
        <v>45385</v>
      </c>
      <c r="D49" s="147">
        <v>45389</v>
      </c>
      <c r="E49" s="4"/>
      <c r="F49" s="4"/>
      <c r="G49" s="39" t="s">
        <v>300</v>
      </c>
      <c r="H49" s="39" t="s">
        <v>300</v>
      </c>
      <c r="I49" s="39" t="s">
        <v>300</v>
      </c>
      <c r="J49" s="39" t="s">
        <v>300</v>
      </c>
      <c r="K49" s="39" t="s">
        <v>300</v>
      </c>
      <c r="L49" s="39" t="s">
        <v>300</v>
      </c>
    </row>
    <row r="50" spans="1:12" s="36" customFormat="1" ht="86.25" customHeight="1" x14ac:dyDescent="0.25">
      <c r="A50" s="141" t="s">
        <v>131</v>
      </c>
      <c r="B50" s="98" t="s">
        <v>239</v>
      </c>
      <c r="C50" s="147">
        <v>45390</v>
      </c>
      <c r="D50" s="147">
        <v>45390</v>
      </c>
      <c r="E50" s="39" t="s">
        <v>300</v>
      </c>
      <c r="F50" s="39" t="s">
        <v>300</v>
      </c>
      <c r="G50" s="39" t="s">
        <v>300</v>
      </c>
      <c r="H50" s="39" t="s">
        <v>300</v>
      </c>
      <c r="I50" s="39" t="s">
        <v>300</v>
      </c>
      <c r="J50" s="39" t="s">
        <v>300</v>
      </c>
      <c r="K50" s="39" t="s">
        <v>300</v>
      </c>
      <c r="L50" s="39" t="s">
        <v>300</v>
      </c>
    </row>
    <row r="51" spans="1:12" s="36" customFormat="1" ht="77.25" customHeight="1" x14ac:dyDescent="0.25">
      <c r="A51" s="141" t="s">
        <v>129</v>
      </c>
      <c r="B51" s="98" t="s">
        <v>241</v>
      </c>
      <c r="C51" s="147">
        <v>45383</v>
      </c>
      <c r="D51" s="147">
        <v>45383</v>
      </c>
      <c r="E51" s="38" t="s">
        <v>287</v>
      </c>
      <c r="F51" s="38" t="s">
        <v>287</v>
      </c>
      <c r="G51" s="39" t="s">
        <v>300</v>
      </c>
      <c r="H51" s="39" t="s">
        <v>300</v>
      </c>
      <c r="I51" s="39" t="s">
        <v>300</v>
      </c>
      <c r="J51" s="39" t="s">
        <v>300</v>
      </c>
      <c r="K51" s="39" t="s">
        <v>300</v>
      </c>
      <c r="L51" s="39" t="s">
        <v>300</v>
      </c>
    </row>
    <row r="52" spans="1:12" s="36" customFormat="1" ht="71.25" customHeight="1" x14ac:dyDescent="0.25">
      <c r="A52" s="141" t="s">
        <v>127</v>
      </c>
      <c r="B52" s="98" t="s">
        <v>128</v>
      </c>
      <c r="C52" s="147">
        <v>45390</v>
      </c>
      <c r="D52" s="147">
        <v>45390</v>
      </c>
      <c r="E52" s="38" t="s">
        <v>287</v>
      </c>
      <c r="F52" s="38" t="s">
        <v>287</v>
      </c>
      <c r="G52" s="39" t="s">
        <v>300</v>
      </c>
      <c r="H52" s="39" t="s">
        <v>300</v>
      </c>
      <c r="I52" s="39" t="s">
        <v>300</v>
      </c>
      <c r="J52" s="39" t="s">
        <v>300</v>
      </c>
      <c r="K52" s="39" t="s">
        <v>300</v>
      </c>
      <c r="L52" s="39" t="s">
        <v>300</v>
      </c>
    </row>
    <row r="53" spans="1:12" s="36" customFormat="1" ht="48" customHeight="1" x14ac:dyDescent="0.25">
      <c r="A53" s="141" t="s">
        <v>125</v>
      </c>
      <c r="B53" s="36" t="s">
        <v>242</v>
      </c>
      <c r="C53" s="147">
        <v>45390</v>
      </c>
      <c r="D53" s="147">
        <v>45390</v>
      </c>
      <c r="E53" s="39" t="s">
        <v>300</v>
      </c>
      <c r="F53" s="39" t="s">
        <v>300</v>
      </c>
      <c r="G53" s="39" t="s">
        <v>300</v>
      </c>
      <c r="H53" s="39" t="s">
        <v>300</v>
      </c>
      <c r="I53" s="39" t="s">
        <v>300</v>
      </c>
      <c r="J53" s="39" t="s">
        <v>300</v>
      </c>
      <c r="K53" s="39" t="s">
        <v>300</v>
      </c>
      <c r="L53" s="39" t="s">
        <v>300</v>
      </c>
    </row>
    <row r="54" spans="1:12" s="36" customFormat="1" ht="46.5" customHeight="1" x14ac:dyDescent="0.25">
      <c r="A54" s="141" t="s">
        <v>243</v>
      </c>
      <c r="B54" s="98" t="s">
        <v>126</v>
      </c>
      <c r="C54" s="39" t="s">
        <v>300</v>
      </c>
      <c r="D54" s="39" t="s">
        <v>300</v>
      </c>
      <c r="E54" s="4">
        <v>43458</v>
      </c>
      <c r="F54" s="4">
        <v>43458</v>
      </c>
      <c r="G54" s="39" t="s">
        <v>300</v>
      </c>
      <c r="H54" s="39" t="s">
        <v>300</v>
      </c>
      <c r="I54" s="39" t="s">
        <v>300</v>
      </c>
      <c r="J54" s="39" t="s">
        <v>300</v>
      </c>
      <c r="K54" s="39" t="s">
        <v>300</v>
      </c>
      <c r="L54" s="39" t="s">
        <v>300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2024-07-31T11:24:21Z</dcterms:modified>
</cp:coreProperties>
</file>