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2930" windowHeight="12585" tabRatio="760" firstSheet="8"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B30" i="22" l="1"/>
  <c r="I31" i="28" l="1"/>
  <c r="A5" i="7"/>
  <c r="B29" i="22" l="1"/>
  <c r="B33" i="22"/>
  <c r="B58" i="22" l="1"/>
  <c r="H34" i="28" l="1"/>
  <c r="H33" i="28"/>
  <c r="B57" i="22" l="1"/>
  <c r="C67" i="22" s="1"/>
  <c r="C69" i="22" l="1"/>
  <c r="B43" i="22"/>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38" i="28" l="1"/>
  <c r="G36" i="28"/>
  <c r="G41" i="28"/>
  <c r="G37" i="28"/>
  <c r="G40" i="28"/>
  <c r="G39" i="28"/>
  <c r="G63" i="28"/>
  <c r="G61" i="28"/>
  <c r="G55" i="28"/>
  <c r="G53" i="28"/>
  <c r="G48" i="28"/>
  <c r="G46" i="28"/>
  <c r="G44" i="28"/>
  <c r="C40" i="28"/>
  <c r="F40" i="28" s="1"/>
  <c r="E40" i="28" s="1"/>
  <c r="C36" i="28"/>
  <c r="F36" i="28" s="1"/>
  <c r="E36" i="28" s="1"/>
  <c r="G32" i="28"/>
  <c r="E32" i="28" s="1"/>
  <c r="G31" i="28"/>
  <c r="E31" i="28" s="1"/>
  <c r="J28" i="28"/>
  <c r="K28" i="28" s="1"/>
  <c r="G26" i="28"/>
  <c r="G24" i="28"/>
  <c r="G64" i="28"/>
  <c r="G60" i="28"/>
  <c r="G54" i="28"/>
  <c r="G49" i="28"/>
  <c r="G45" i="28"/>
  <c r="C42" i="28"/>
  <c r="G34" i="28"/>
  <c r="E34" i="28" s="1"/>
  <c r="C33" i="28"/>
  <c r="C30" i="28"/>
  <c r="G28" i="28"/>
  <c r="H25" i="28"/>
  <c r="C56" i="28"/>
  <c r="C52" i="28"/>
  <c r="C47" i="28"/>
  <c r="C57" i="28"/>
  <c r="C55" i="28"/>
  <c r="F55" i="28" s="1"/>
  <c r="E55" i="28" s="1"/>
  <c r="C53" i="28"/>
  <c r="F53" i="28" s="1"/>
  <c r="E53" i="28" s="1"/>
  <c r="C50" i="28"/>
  <c r="C48" i="28"/>
  <c r="F48" i="28" s="1"/>
  <c r="E48" i="28" s="1"/>
  <c r="C46" i="28"/>
  <c r="F46" i="28" s="1"/>
  <c r="E46" i="28" s="1"/>
  <c r="C44" i="28"/>
  <c r="F44" i="28" s="1"/>
  <c r="E44" i="28" s="1"/>
  <c r="C39" i="28"/>
  <c r="F39" i="28" s="1"/>
  <c r="E39" i="28" s="1"/>
  <c r="G33" i="28"/>
  <c r="E33" i="28" s="1"/>
  <c r="C32" i="28"/>
  <c r="C31" i="28"/>
  <c r="H28" i="28"/>
  <c r="G27" i="28"/>
  <c r="J25" i="28"/>
  <c r="G62" i="28"/>
  <c r="G56" i="28"/>
  <c r="G52" i="28"/>
  <c r="G47" i="28"/>
  <c r="C38" i="28"/>
  <c r="F38" i="28" s="1"/>
  <c r="E38" i="28" s="1"/>
  <c r="G30" i="28"/>
  <c r="G29" i="28"/>
  <c r="J26" i="28"/>
  <c r="C54" i="28"/>
  <c r="F54" i="28" s="1"/>
  <c r="E54" i="28" s="1"/>
  <c r="C49" i="28"/>
  <c r="F49" i="28" s="1"/>
  <c r="E49" i="28" s="1"/>
  <c r="C41" i="28"/>
  <c r="F41" i="28" s="1"/>
  <c r="E41" i="28" s="1"/>
  <c r="G25" i="28"/>
  <c r="D25" i="28" s="1"/>
  <c r="C34" i="28"/>
  <c r="H26" i="28"/>
  <c r="C45" i="28"/>
  <c r="F45" i="28" s="1"/>
  <c r="E45" i="28" s="1"/>
  <c r="C37" i="28"/>
  <c r="F37" i="28" s="1"/>
  <c r="E37" i="28" s="1"/>
  <c r="G42" i="28"/>
  <c r="I26" i="28" l="1"/>
  <c r="C26" i="28"/>
  <c r="K25" i="28"/>
  <c r="F25" i="28"/>
  <c r="E25" i="28" s="1"/>
  <c r="F56" i="28"/>
  <c r="E56" i="28" s="1"/>
  <c r="D28" i="28"/>
  <c r="E28" i="28"/>
  <c r="F42" i="28"/>
  <c r="E42" i="28" s="1"/>
  <c r="G50" i="28"/>
  <c r="F50" i="28" s="1"/>
  <c r="E50" i="28" s="1"/>
  <c r="F52" i="28"/>
  <c r="E52" i="28" s="1"/>
  <c r="D26" i="28"/>
  <c r="G57" i="28"/>
  <c r="F57" i="28" s="1"/>
  <c r="E57" i="28" s="1"/>
  <c r="K26" i="28"/>
  <c r="F26" i="28"/>
  <c r="E26" i="28" s="1"/>
  <c r="I28" i="28"/>
  <c r="C28" i="28"/>
  <c r="F47" i="28"/>
  <c r="E47" i="28" s="1"/>
  <c r="E29" i="28"/>
  <c r="I25" i="28"/>
  <c r="C25" i="28"/>
  <c r="A15" i="7" l="1"/>
  <c r="E14" i="26" l="1"/>
  <c r="A15" i="22"/>
  <c r="A15" i="16"/>
  <c r="F19" i="24"/>
  <c r="O17" i="29"/>
  <c r="E15" i="14"/>
  <c r="C15" i="27"/>
  <c r="A16" i="25"/>
  <c r="A15" i="23"/>
  <c r="B21" i="22"/>
  <c r="A15" i="6"/>
  <c r="A14" i="28"/>
  <c r="B27" i="22" l="1"/>
  <c r="C28" i="6"/>
  <c r="C30" i="6"/>
  <c r="B26" i="22" s="1"/>
  <c r="B86" i="22" s="1"/>
  <c r="C29" i="6" l="1"/>
  <c r="B25" i="22"/>
  <c r="B54" i="22"/>
  <c r="B49" i="22"/>
  <c r="B44" i="22"/>
  <c r="B34" i="22"/>
  <c r="I30" i="28"/>
  <c r="B65" i="22" l="1"/>
  <c r="B63" i="22"/>
  <c r="B61" i="22"/>
  <c r="K63" i="28" l="1"/>
  <c r="K61" i="28"/>
  <c r="J61" i="28" l="1"/>
  <c r="J63" i="28"/>
  <c r="D24" i="28" l="1"/>
  <c r="B67" i="22" l="1"/>
  <c r="C48" i="7"/>
  <c r="D67" i="22" l="1"/>
  <c r="B66" i="22"/>
  <c r="K62" i="28"/>
  <c r="K60" i="28" l="1"/>
  <c r="K64" i="28"/>
  <c r="J60" i="28"/>
  <c r="J64" i="28"/>
  <c r="J62" i="28"/>
  <c r="D30" i="28" l="1"/>
  <c r="B69" i="22" l="1"/>
  <c r="C49" i="7"/>
  <c r="D69" i="22" l="1"/>
  <c r="K24" i="28" l="1"/>
  <c r="D38" i="28" l="1"/>
  <c r="D46" i="28"/>
  <c r="D55" i="28"/>
  <c r="D52" i="28" l="1"/>
  <c r="D56" i="28" l="1"/>
  <c r="E25" i="6" s="1"/>
  <c r="D47" i="28"/>
  <c r="D39" i="28"/>
  <c r="D45" i="28"/>
  <c r="D37" i="28"/>
  <c r="D54" i="28"/>
  <c r="D25" i="6" s="1"/>
  <c r="D57" i="28"/>
  <c r="D50" i="28"/>
  <c r="D42" i="28"/>
  <c r="H30" i="28" l="1"/>
  <c r="H32" i="28" s="1"/>
  <c r="E30" i="28" l="1"/>
  <c r="B68" i="22" s="1"/>
  <c r="F30" i="28"/>
  <c r="H27" i="28"/>
  <c r="I27" i="28" s="1"/>
  <c r="H24" i="28"/>
  <c r="C24" i="28" l="1"/>
  <c r="I24" i="28"/>
  <c r="E24" i="28" l="1"/>
  <c r="F24" i="28"/>
  <c r="F27" i="28" s="1"/>
  <c r="E27" i="28" s="1"/>
  <c r="I63" i="28" l="1"/>
  <c r="I61" i="28" l="1"/>
  <c r="I60" i="28"/>
  <c r="I62" i="28"/>
  <c r="I64" i="28" l="1"/>
  <c r="C61" i="28" l="1"/>
  <c r="F61" i="28" s="1"/>
  <c r="E61" i="28" s="1"/>
  <c r="H62" i="28"/>
  <c r="C63" i="28"/>
  <c r="F63" i="28" s="1"/>
  <c r="E63" i="28" s="1"/>
  <c r="H60" i="28"/>
  <c r="H49" i="28" l="1"/>
  <c r="H41" i="28"/>
  <c r="H47" i="28"/>
  <c r="H39" i="28"/>
  <c r="K48" i="28"/>
  <c r="K40" i="28"/>
  <c r="J41" i="28"/>
  <c r="J49" i="28"/>
  <c r="I49" i="28"/>
  <c r="I41" i="28"/>
  <c r="K49" i="28"/>
  <c r="K41" i="28"/>
  <c r="I39" i="28"/>
  <c r="I47" i="28"/>
  <c r="K47" i="28"/>
  <c r="K39" i="28"/>
  <c r="H48" i="28"/>
  <c r="H40" i="28"/>
  <c r="I40" i="28"/>
  <c r="I48" i="28"/>
  <c r="J40" i="28"/>
  <c r="J48" i="28"/>
  <c r="K30" i="28" l="1"/>
  <c r="K52" i="28" l="1"/>
  <c r="K56" i="28"/>
  <c r="K55" i="28" l="1"/>
  <c r="K46" i="28"/>
  <c r="K38" i="28"/>
  <c r="K54" i="28"/>
  <c r="K37" i="28"/>
  <c r="K45" i="28"/>
  <c r="K36" i="28"/>
  <c r="K53" i="28"/>
  <c r="K44" i="28"/>
  <c r="K57" i="28" l="1"/>
  <c r="K42" i="28"/>
  <c r="K50" i="28"/>
  <c r="H29" i="28" l="1"/>
  <c r="I29" i="28" l="1"/>
  <c r="C29" i="28"/>
  <c r="C27" i="28" s="1"/>
  <c r="I52" i="28" l="1"/>
  <c r="I56" i="28"/>
  <c r="I37" i="28" l="1"/>
  <c r="I54" i="28"/>
  <c r="I45" i="28"/>
  <c r="I46" i="28"/>
  <c r="I38" i="28"/>
  <c r="I55" i="28"/>
  <c r="H61" i="28"/>
  <c r="I44" i="28" l="1"/>
  <c r="I36" i="28"/>
  <c r="I53" i="28"/>
  <c r="C60" i="28"/>
  <c r="F60" i="28" s="1"/>
  <c r="E60" i="28" s="1"/>
  <c r="C64" i="28" l="1"/>
  <c r="F64" i="28" s="1"/>
  <c r="E64" i="28" s="1"/>
  <c r="H64" i="28"/>
  <c r="I42" i="28"/>
  <c r="I50" i="28"/>
  <c r="I57" i="28"/>
  <c r="J24" i="28" l="1"/>
  <c r="H53" i="28" l="1"/>
  <c r="H36" i="28"/>
  <c r="H44" i="28"/>
  <c r="J36" i="28" l="1"/>
  <c r="J53" i="28"/>
  <c r="J44" i="28"/>
  <c r="J55" i="28"/>
  <c r="J46" i="28"/>
  <c r="J38" i="28"/>
  <c r="J47" i="28" l="1"/>
  <c r="J39" i="28"/>
  <c r="J56" i="28" l="1"/>
  <c r="J52" i="28"/>
  <c r="J54" i="28" l="1"/>
  <c r="J37" i="28"/>
  <c r="J45" i="28"/>
  <c r="J42" i="28"/>
  <c r="J57" i="28"/>
  <c r="J50" i="28"/>
  <c r="J27" i="28"/>
  <c r="K27" i="28" l="1"/>
  <c r="D27" i="28"/>
  <c r="J30" i="28" l="1"/>
  <c r="J29" i="28" l="1"/>
  <c r="K29" i="28" l="1"/>
  <c r="D29" i="28"/>
  <c r="H37" i="28" l="1"/>
  <c r="H54" i="28"/>
  <c r="H45" i="28"/>
  <c r="H55" i="28" l="1"/>
  <c r="H38" i="28"/>
  <c r="H46" i="28"/>
  <c r="J31" i="28" l="1"/>
  <c r="K31" i="28" s="1"/>
  <c r="J33" i="28"/>
  <c r="K33" i="28" s="1"/>
  <c r="J32" i="28" l="1"/>
  <c r="K32" i="28" s="1"/>
  <c r="J34" i="28" l="1"/>
  <c r="K34" i="28" s="1"/>
  <c r="H52" i="28" l="1"/>
  <c r="H56" i="28"/>
  <c r="H50" i="28" l="1"/>
  <c r="H57" i="28"/>
  <c r="H42" i="28"/>
  <c r="C62" i="28"/>
  <c r="F62" i="28" s="1"/>
  <c r="E62" i="28" s="1"/>
  <c r="H63" i="28"/>
</calcChain>
</file>

<file path=xl/sharedStrings.xml><?xml version="1.0" encoding="utf-8"?>
<sst xmlns="http://schemas.openxmlformats.org/spreadsheetml/2006/main" count="1131" uniqueCount="537">
  <si>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</si>
  <si>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</si>
  <si>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</si>
  <si>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</si>
  <si>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</si>
  <si>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</si>
  <si>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</si>
  <si>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</si>
  <si>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</si>
  <si>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</si>
  <si>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</si>
  <si>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</si>
  <si>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</si>
  <si>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</si>
  <si>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</si>
  <si>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</si>
  <si>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</si>
  <si>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</si>
  <si>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</si>
  <si>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</si>
  <si>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</si>
  <si>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</si>
  <si>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</si>
  <si>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</si>
  <si>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</si>
  <si>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</si>
  <si>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</si>
  <si>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</si>
  <si>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</si>
  <si>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</si>
  <si>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</si>
  <si>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</si>
  <si>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</si>
  <si>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</si>
  <si>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</si>
  <si>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</si>
  <si>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</si>
  <si>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</si>
  <si>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</si>
  <si>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</si>
  <si>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</si>
  <si>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</si>
  <si>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</si>
  <si>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</si>
  <si>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</si>
  <si>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</si>
  <si>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</si>
  <si>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</si>
  <si>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</si>
  <si>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</si>
  <si>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</si>
  <si>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</si>
  <si>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</si>
  <si>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</si>
  <si>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</si>
  <si>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</si>
  <si>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</si>
  <si>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</si>
  <si>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</si>
  <si>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</si>
  <si>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</si>
  <si>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</si>
  <si>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</si>
  <si>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</si>
  <si>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</si>
  <si>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</si>
  <si>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</si>
  <si>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</si>
  <si>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</si>
  <si>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</si>
  <si>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</si>
  <si>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</si>
  <si>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</si>
  <si>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</si>
  <si>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</si>
  <si>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</si>
  <si>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</si>
  <si>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</si>
  <si>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</si>
  <si>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</si>
  <si>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</si>
  <si>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</si>
  <si>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</si>
  <si>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</si>
  <si>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</si>
  <si>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</si>
  <si>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</si>
  <si>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</si>
  <si>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</si>
  <si>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</si>
  <si>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</si>
  <si>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</si>
  <si>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</si>
  <si>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</si>
  <si>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</si>
  <si>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</si>
  <si>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</si>
  <si>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</si>
  <si>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</si>
  <si>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</si>
  <si>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</si>
  <si>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</si>
  <si>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</si>
  <si>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</si>
  <si>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</si>
  <si>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</si>
  <si>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</si>
  <si>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</si>
  <si>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</si>
  <si>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</si>
  <si>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</si>
  <si>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</si>
  <si>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</si>
  <si>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</si>
  <si>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</si>
  <si>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</si>
  <si>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</si>
  <si>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</si>
  <si>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</si>
  <si>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</si>
  <si>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</si>
  <si>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</si>
  <si>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</si>
  <si>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</si>
  <si>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</si>
  <si>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</si>
  <si>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</si>
  <si>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</si>
  <si>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</si>
  <si>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</si>
  <si>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</si>
  <si>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</si>
  <si>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</si>
  <si>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</si>
  <si>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</si>
  <si>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</si>
  <si>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</si>
  <si>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</si>
  <si>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</si>
  <si>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</si>
  <si>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</si>
  <si>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</si>
  <si>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</si>
  <si>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</si>
  <si>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</si>
  <si>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</si>
  <si>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</si>
  <si>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</si>
  <si>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</si>
  <si>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</si>
  <si>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</si>
  <si>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</si>
  <si>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</si>
  <si>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</si>
  <si>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</si>
  <si>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</si>
  <si>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</si>
  <si>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</si>
  <si>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</si>
  <si>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</si>
  <si>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</si>
  <si>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</si>
  <si>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</si>
  <si>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</si>
  <si>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</si>
  <si>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</si>
  <si>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</si>
  <si>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</si>
  <si>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</si>
  <si>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</si>
  <si>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</si>
  <si>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</si>
  <si>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</si>
  <si>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</si>
  <si>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</si>
  <si>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</si>
  <si>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</si>
  <si>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</si>
  <si>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</si>
  <si>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</si>
  <si>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</si>
  <si>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</si>
  <si>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</si>
  <si>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</si>
  <si>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</si>
  <si>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</si>
  <si>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</si>
  <si>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</si>
  <si>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</si>
  <si>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</si>
  <si>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</si>
  <si>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</si>
  <si>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</si>
  <si>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</si>
  <si>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</si>
  <si>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</si>
  <si>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</si>
  <si>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</si>
  <si>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</si>
  <si>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</si>
  <si>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</si>
  <si>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</si>
  <si>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</si>
  <si>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</si>
  <si>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</si>
  <si>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</si>
  <si>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</si>
  <si>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</si>
  <si>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</si>
  <si>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</si>
  <si>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</si>
  <si>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</si>
  <si>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</si>
  <si>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</si>
  <si>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</si>
  <si>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</si>
  <si>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</si>
  <si>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</si>
  <si>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</si>
  <si>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</si>
  <si>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</si>
  <si>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</si>
  <si>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</si>
  <si>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</si>
  <si>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</si>
  <si>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</si>
  <si>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</si>
  <si>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</si>
  <si>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</si>
  <si>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</si>
  <si>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</si>
  <si>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</si>
  <si>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</si>
  <si>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</si>
  <si>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</si>
  <si>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</si>
  <si>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</si>
  <si>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</si>
  <si>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</si>
  <si>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</si>
  <si>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</si>
  <si>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</si>
  <si>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</si>
  <si>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</si>
  <si>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</si>
  <si>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</si>
  <si>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</si>
  <si>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</si>
  <si>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</si>
  <si>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</si>
  <si>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</si>
  <si>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</si>
  <si>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</si>
  <si>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</si>
  <si>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</si>
  <si>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</si>
  <si>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</si>
  <si>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</si>
  <si>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</si>
  <si>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</si>
  <si>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</si>
  <si>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</si>
  <si>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</si>
  <si>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</si>
  <si>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</si>
  <si>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</si>
  <si>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</si>
  <si>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</si>
  <si>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</si>
  <si>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</si>
  <si>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</si>
  <si>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</si>
  <si>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</si>
  <si>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</si>
  <si>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</si>
  <si>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</si>
  <si>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</si>
  <si>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</si>
  <si>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</si>
  <si>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</si>
  <si>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</si>
  <si>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</si>
  <si>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</si>
  <si>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</si>
  <si>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</si>
  <si>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</si>
  <si>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</si>
  <si>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</si>
  <si>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</si>
  <si>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</si>
  <si>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</si>
  <si>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</si>
  <si>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</si>
  <si>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</si>
  <si>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</si>
  <si>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</si>
  <si>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</si>
  <si>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</si>
  <si>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</si>
  <si>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</si>
  <si>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</si>
  <si>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</si>
  <si>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</si>
  <si>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</si>
  <si>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</si>
  <si>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</si>
  <si>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</si>
  <si>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</si>
  <si>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</si>
  <si>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</si>
  <si>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</si>
  <si>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</si>
  <si>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</si>
  <si>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</si>
  <si>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</si>
  <si>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</si>
  <si>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</si>
  <si>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</si>
  <si>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</si>
  <si>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</si>
  <si>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</si>
  <si>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</si>
  <si>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</si>
  <si>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</si>
  <si>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</si>
  <si>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</si>
  <si>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</si>
  <si>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</si>
  <si>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</si>
  <si>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</si>
  <si>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</si>
  <si>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</si>
  <si>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</si>
  <si>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</si>
  <si>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</si>
  <si>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</si>
  <si>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</si>
  <si>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</si>
  <si>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</si>
  <si>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</si>
  <si>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</si>
  <si>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</si>
  <si>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</si>
  <si>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</si>
  <si>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</si>
  <si>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</si>
  <si>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</si>
  <si>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</si>
  <si>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</si>
  <si>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</si>
  <si>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</si>
  <si>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</si>
  <si>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</si>
  <si>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</si>
  <si>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</si>
  <si>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</si>
  <si>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</si>
  <si>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</si>
  <si>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</si>
  <si>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</si>
  <si>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</si>
  <si>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</si>
  <si>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</si>
  <si>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</si>
  <si>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</si>
  <si>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</si>
  <si>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</si>
  <si>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</si>
  <si>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</si>
  <si>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</si>
  <si>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</si>
  <si>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</si>
  <si>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</si>
  <si>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</si>
  <si>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</si>
  <si>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</si>
  <si>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</si>
  <si>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</si>
  <si>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</si>
  <si>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</si>
  <si>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</si>
  <si>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</si>
  <si>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</si>
  <si>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</si>
  <si>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</si>
  <si>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</si>
  <si>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</si>
  <si>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</si>
  <si>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</si>
  <si>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</si>
  <si>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</si>
  <si>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</si>
  <si>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</si>
  <si>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</si>
  <si>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</si>
  <si>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</si>
  <si>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</si>
  <si>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</si>
  <si>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</si>
  <si>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</si>
  <si>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</si>
  <si>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</si>
  <si>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</si>
  <si>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</si>
  <si>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</si>
  <si>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</si>
  <si>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</si>
  <si>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</si>
  <si>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</si>
  <si>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</si>
  <si>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</si>
  <si>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</si>
  <si>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</si>
  <si>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</si>
  <si>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</si>
  <si>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</si>
  <si>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</si>
  <si>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</si>
  <si>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</si>
  <si>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</si>
  <si>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</si>
  <si>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</si>
  <si>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</si>
  <si>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</si>
  <si>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</si>
  <si>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</si>
  <si>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</si>
  <si>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</si>
  <si>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</si>
  <si>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</si>
  <si>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</si>
  <si>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</si>
  <si>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</si>
  <si>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</si>
  <si>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</si>
  <si>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</si>
  <si>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</si>
  <si>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</si>
  <si>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</si>
  <si>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</si>
  <si>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</si>
  <si>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</si>
  <si>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</si>
  <si>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</si>
  <si>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</si>
  <si>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</si>
  <si>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</si>
  <si>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</si>
  <si>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</si>
  <si>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</si>
  <si>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</si>
  <si>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</si>
  <si>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</si>
  <si>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</si>
  <si>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</si>
  <si>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</si>
  <si>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</si>
  <si>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</si>
  <si>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</si>
  <si>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</si>
  <si>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</si>
  <si>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</si>
  <si>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</si>
  <si>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</si>
  <si>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</si>
  <si>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</si>
  <si>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</si>
  <si>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</si>
  <si>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</si>
  <si>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</si>
  <si>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</si>
  <si>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</si>
  <si>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</si>
  <si>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</si>
  <si>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</si>
  <si>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</si>
  <si>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</si>
  <si>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</si>
  <si>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</si>
  <si>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</si>
  <si>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</si>
  <si>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</si>
  <si>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913 922,56 914 838,31</t>
  </si>
  <si>
    <t>Строительство и реконструкция 126,229 км сети 10-0,4 кВ, установка 8,86 МВА трансформаторной мощности в рамках "Плана (программы) снижения потерь электрической энергии в электрических сетях АО "Чеченэнерго". Шалинские РЭС</t>
  </si>
  <si>
    <t>РСФ "МИР" ООО (ПИР) № 01-18-ПИР от 17.08.2020г. Доп.согл. №4 от 18.04.2019г. (объем затрат по данному объекту составляет 13,05 млн.р. с НДС)</t>
  </si>
  <si>
    <t>L_Che378</t>
  </si>
  <si>
    <t>объем заключенного договора в ценах _2021_ года с НДС, млн. руб.</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</si>
  <si>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</si>
  <si>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</si>
  <si>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</si>
  <si>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</si>
  <si>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Шалинский район</t>
  </si>
  <si>
    <t>местный</t>
  </si>
  <si>
    <t>+</t>
  </si>
  <si>
    <t>Показатель замены силовых (авто-) трансформаторов высшего класса напряжения 10 кв - 8,86 МВт. Показатель замены линий электропередачи высшего класса напряжения 0,4 кв - 126,23 км. Показатель объема финансовых потребностей, необходимых для реализации мероприятий, направленных на выполнение требований законодательства (фтз) - 190,25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</si>
  <si>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</si>
  <si>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</si>
  <si>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</si>
  <si>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</si>
  <si>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19,12 млн.руб./МВА. 1,34 млн.руб./км.</t>
  </si>
  <si>
    <t>8,86 МВА (8,86 МВА)  126,23 км (126,23 км)</t>
  </si>
  <si>
    <t>Итого за год (нарастающим итогом)</t>
  </si>
  <si>
    <t>за текущий квартал</t>
  </si>
  <si>
    <t>строительный контроль</t>
  </si>
  <si>
    <t>Авторский надзор</t>
  </si>
  <si>
    <t>объем заключенного договора в ценах __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</si>
  <si>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</si>
  <si>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</si>
  <si>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</si>
  <si>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строительство и реконструкция</t>
  </si>
  <si>
    <t>117 950,43  
118 033,76</t>
  </si>
  <si>
    <t>Конкурс 
№ 977287</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</si>
  <si>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Шалинских РЭС - 13052,62 тыс. руб. с НДС.
Дата исполнения договора - в соотетствтсии с доп. соглашением № 1 от 28.12.2018</t>
  </si>
  <si>
    <t>СМР,оборудование, прочие</t>
  </si>
  <si>
    <t>Конкурс 
№ 2366048</t>
  </si>
  <si>
    <t>10.11..2024</t>
  </si>
  <si>
    <t>Факт 2023 года</t>
  </si>
  <si>
    <t xml:space="preserve">2024 год </t>
  </si>
  <si>
    <t xml:space="preserve"> по состоянию на 01.01.2023</t>
  </si>
  <si>
    <t>по состоянию на 01.01.2024</t>
  </si>
  <si>
    <r>
      <t>Договор  от 06.10.2020 № 17-20-СМР-ЧЭ "под ключ"  (СМР, ПНР, в том числе поставка оборудования) заключен на общую сумму 1 096 707,07  тыс. руб. с НДС, объем затрат по Шалинским  РЭС</t>
    </r>
    <r>
      <rPr>
        <sz val="10"/>
        <rFont val="Times New Roman"/>
        <family val="1"/>
        <charset val="204"/>
      </rPr>
      <t xml:space="preserve"> -177 597,62 тыс руб. с НДС. фактическое выполение -121 345  тыс. руб. с НДС. Расторжение договора.</t>
    </r>
  </si>
  <si>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</si>
  <si>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</si>
  <si>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2 584,65тыс.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</si>
  <si>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</si>
  <si>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</si>
  <si>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</si>
  <si>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</si>
  <si>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</si>
  <si>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</si>
  <si>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</si>
  <si>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- 263,54 тыс. руб. с НДС</t>
  </si>
  <si>
    <t>ООО «НИЙСО и К» № 17-20-СМР-ЧЭ от 06.10.2020 "под ключ" (объем затрат по данному объекту составляет 177,60 млн.р. с НДС,  фактическое выполение - 121,35 млн руб. с НДС)</t>
  </si>
  <si>
    <t>РСФ "МИР" ООО №24-20-ЧЭ от 21.12.2020г. (объем затрат по данному объекту составляет - 0,26 млн.руб. с НДС)</t>
  </si>
  <si>
    <t>АО "ЦИУС ЕЭС" № 01-21-СК-ЧЭ от 11.01.21,  объем затрат по данному объекту составляет - 2,58 млн.руб. с НДС</t>
  </si>
  <si>
    <t xml:space="preserve">АО "ЦИУС ЕЭС" </t>
  </si>
  <si>
    <t>10.10..2023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</si>
</sst>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0.0%"/>
    <numFmt numFmtId="169" formatCode="0.0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10" fontId="33" fillId="0" borderId="10" xfId="60" applyNumberFormat="1" applyFont="1" applyFill="1" applyBorder="1" applyAlignment="1">
      <alignment horizontal="justify" vertical="top" wrapText="1"/>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5" borderId="10" xfId="52" applyNumberFormat="1" applyFont="1" applyFill="1" applyBorder="1" applyAlignment="1">
      <alignment horizontal="center" vertical="center"/>
    </xf>
    <xf numFmtId="1" fontId="38" fillId="24" borderId="10" xfId="52" applyNumberFormat="1" applyFont="1" applyFill="1" applyBorder="1" applyAlignment="1">
      <alignment horizontal="justify" vertical="center" wrapText="1"/>
    </xf>
    <xf numFmtId="0" fontId="67" fillId="24" borderId="0" xfId="52" applyFont="1" applyFill="1"/>
    <xf numFmtId="0" fontId="67" fillId="24" borderId="10" xfId="52" applyFont="1" applyFill="1" applyBorder="1" applyAlignment="1">
      <alignment horizontal="center" vertical="center" wrapText="1"/>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69"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4" borderId="0" xfId="52" applyFont="1" applyFill="1" applyAlignment="1">
      <alignment horizontal="center" vertical="center" wrapText="1"/>
    </xf>
    <xf numFmtId="0" fontId="67" fillId="0" borderId="13" xfId="52" applyFont="1" applyFill="1" applyBorder="1" applyAlignment="1">
      <alignment horizontal="center"/>
    </xf>
    <xf numFmtId="0" fontId="67" fillId="0" borderId="10" xfId="52" applyFont="1" applyFill="1" applyBorder="1" applyAlignment="1">
      <alignment horizontal="center" vertical="center" wrapText="1"/>
    </xf>
    <xf numFmtId="0" fontId="67" fillId="0" borderId="13" xfId="52" applyFont="1" applyFill="1" applyBorder="1" applyAlignment="1">
      <alignment horizontal="center" vertical="center" wrapText="1"/>
    </xf>
    <xf numFmtId="2" fontId="67" fillId="0" borderId="10" xfId="52" applyNumberFormat="1" applyFont="1" applyFill="1" applyBorder="1" applyAlignment="1">
      <alignment horizontal="center" vertical="center"/>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4" fontId="70" fillId="0" borderId="10" xfId="52" applyNumberFormat="1" applyFont="1" applyFill="1" applyBorder="1" applyAlignment="1">
      <alignment horizontal="center" vertical="center"/>
    </xf>
    <xf numFmtId="0" fontId="49" fillId="0" borderId="10" xfId="52" applyFont="1" applyFill="1" applyBorder="1"/>
    <xf numFmtId="0" fontId="70"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169" fontId="33" fillId="0" borderId="10" xfId="42"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60" fillId="0" borderId="31" xfId="0" applyNumberFormat="1" applyFont="1" applyFill="1" applyBorder="1" applyAlignment="1">
      <alignment horizontal="center" vertical="center" wrapText="1" readingOrder="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67" fillId="24" borderId="1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7" fontId="67" fillId="24" borderId="14" xfId="52" applyNumberFormat="1" applyFont="1" applyFill="1" applyBorder="1" applyAlignment="1">
      <alignment horizontal="center" vertical="center" wrapText="1"/>
    </xf>
    <xf numFmtId="17" fontId="67" fillId="24" borderId="15" xfId="52" applyNumberFormat="1" applyFont="1" applyFill="1" applyBorder="1" applyAlignment="1">
      <alignment horizontal="center" vertical="center" wrapText="1"/>
    </xf>
    <xf numFmtId="17" fontId="67" fillId="24" borderId="12" xfId="52" applyNumberFormat="1" applyFont="1" applyFill="1" applyBorder="1" applyAlignment="1">
      <alignment horizontal="center" vertical="center" wrapText="1"/>
    </xf>
    <xf numFmtId="2" fontId="38" fillId="24" borderId="1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1" fontId="38" fillId="24" borderId="14"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A5" sqref="A5:C5"/>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5" t="str">
        <f>'[1]6.2. отчет'!$B$2</f>
        <v>Год раскрытия информации: 2024 год</v>
      </c>
      <c r="B5" s="235"/>
      <c r="C5" s="235"/>
      <c r="D5" s="12"/>
      <c r="E5" s="12"/>
      <c r="F5" s="12"/>
      <c r="G5" s="12"/>
      <c r="H5" s="12"/>
      <c r="I5" s="12"/>
      <c r="J5" s="12"/>
    </row>
    <row r="6" spans="1:22" s="78" customFormat="1" ht="18.75" x14ac:dyDescent="0.3">
      <c r="A6" s="13"/>
      <c r="H6" s="14"/>
    </row>
    <row r="7" spans="1:22" s="78" customFormat="1" ht="18.75" x14ac:dyDescent="0.2">
      <c r="A7" s="239" t="s">
        <v>5</v>
      </c>
      <c r="B7" s="239"/>
      <c r="C7" s="239"/>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0" t="s">
        <v>264</v>
      </c>
      <c r="B9" s="240"/>
      <c r="C9" s="240"/>
      <c r="D9" s="18"/>
      <c r="E9" s="18"/>
      <c r="F9" s="18"/>
      <c r="G9" s="18"/>
      <c r="H9" s="18"/>
      <c r="I9" s="17"/>
      <c r="J9" s="17"/>
      <c r="K9" s="17"/>
      <c r="L9" s="17"/>
      <c r="M9" s="17"/>
      <c r="N9" s="17"/>
      <c r="O9" s="17"/>
      <c r="P9" s="17"/>
      <c r="Q9" s="17"/>
      <c r="R9" s="17"/>
      <c r="S9" s="17"/>
      <c r="T9" s="17"/>
      <c r="U9" s="17"/>
      <c r="V9" s="17"/>
    </row>
    <row r="10" spans="1:22" s="78" customFormat="1" ht="18.75" x14ac:dyDescent="0.2">
      <c r="A10" s="245" t="s">
        <v>4</v>
      </c>
      <c r="B10" s="245"/>
      <c r="C10" s="245"/>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0" t="s">
        <v>485</v>
      </c>
      <c r="B12" s="240"/>
      <c r="C12" s="240"/>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45" t="s">
        <v>3</v>
      </c>
      <c r="B13" s="245"/>
      <c r="C13" s="245"/>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6" t="str">
        <f>VLOOKUP(A12,'[1]6.2. отчет'!$A:$C,3,0)</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5" s="240"/>
      <c r="C15" s="240"/>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6" t="s">
        <v>2</v>
      </c>
      <c r="B16" s="236"/>
      <c r="C16" s="236"/>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7" t="s">
        <v>257</v>
      </c>
      <c r="B18" s="238"/>
      <c r="C18" s="238"/>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2"/>
      <c r="B24" s="243"/>
      <c r="C24" s="244"/>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2"/>
      <c r="B39" s="243"/>
      <c r="C39" s="244"/>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494</v>
      </c>
      <c r="D40" s="241"/>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1"/>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41"/>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1"/>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1"/>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1"/>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142.52696514200002</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119.65261705999998</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opLeftCell="A22" zoomScale="60" zoomScaleNormal="60" workbookViewId="0">
      <selection activeCell="L30" sqref="L30"/>
    </sheetView>
  </sheetViews>
  <sheetFormatPr defaultColWidth="9.140625" defaultRowHeight="15.75" x14ac:dyDescent="0.25"/>
  <cols>
    <col min="1" max="1" width="9.140625" style="46"/>
    <col min="2" max="2" width="57.85546875" style="46" customWidth="1"/>
    <col min="3" max="3" width="13" style="46" customWidth="1"/>
    <col min="4" max="4" width="13.570312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3" spans="1:11" x14ac:dyDescent="0.25">
      <c r="A3" s="240"/>
      <c r="B3" s="240"/>
      <c r="C3" s="240"/>
      <c r="D3" s="240"/>
      <c r="E3" s="240"/>
      <c r="F3" s="240"/>
      <c r="G3" s="240"/>
      <c r="H3" s="240"/>
      <c r="I3" s="240"/>
      <c r="J3" s="240"/>
      <c r="K3" s="240"/>
    </row>
    <row r="4" spans="1:11" s="78" customFormat="1" x14ac:dyDescent="0.2">
      <c r="A4" s="324" t="str">
        <f>'1. паспорт местоположение'!A5</f>
        <v>Год раскрытия информации: 2024 год</v>
      </c>
      <c r="B4" s="324"/>
      <c r="C4" s="324"/>
      <c r="D4" s="324"/>
      <c r="E4" s="324"/>
      <c r="F4" s="324"/>
      <c r="G4" s="324"/>
      <c r="H4" s="324"/>
      <c r="I4" s="324"/>
      <c r="J4" s="324"/>
      <c r="K4" s="324"/>
    </row>
    <row r="5" spans="1:11" s="78" customFormat="1" x14ac:dyDescent="0.2">
      <c r="A5" s="164"/>
      <c r="B5" s="162"/>
      <c r="C5" s="162"/>
      <c r="D5" s="162"/>
      <c r="E5" s="162"/>
      <c r="F5" s="162"/>
      <c r="G5" s="314"/>
      <c r="H5" s="314"/>
      <c r="I5" s="314"/>
      <c r="J5" s="314"/>
      <c r="K5" s="314"/>
    </row>
    <row r="6" spans="1:11" s="78" customFormat="1" x14ac:dyDescent="0.2">
      <c r="A6" s="324" t="str">
        <f>'1. паспорт местоположение'!A7</f>
        <v xml:space="preserve">Паспорт инвестиционного проекта </v>
      </c>
      <c r="B6" s="324"/>
      <c r="C6" s="324"/>
      <c r="D6" s="324"/>
      <c r="E6" s="324"/>
      <c r="F6" s="324"/>
      <c r="G6" s="324"/>
      <c r="H6" s="324"/>
      <c r="I6" s="324"/>
      <c r="J6" s="324"/>
      <c r="K6" s="324"/>
    </row>
    <row r="7" spans="1:11" s="78" customFormat="1" ht="18.75" x14ac:dyDescent="0.2">
      <c r="A7" s="160"/>
      <c r="B7" s="160"/>
      <c r="C7" s="160"/>
      <c r="D7" s="160"/>
      <c r="E7" s="160"/>
      <c r="F7" s="160"/>
      <c r="G7" s="239"/>
      <c r="H7" s="239"/>
      <c r="I7" s="239"/>
      <c r="J7" s="239"/>
      <c r="K7" s="239"/>
    </row>
    <row r="8" spans="1:11" s="78" customFormat="1" x14ac:dyDescent="0.2">
      <c r="A8" s="324" t="str">
        <f>'1. паспорт местоположение'!A9</f>
        <v>АО "Чеченэнерго"</v>
      </c>
      <c r="B8" s="324"/>
      <c r="C8" s="324"/>
      <c r="D8" s="324"/>
      <c r="E8" s="324"/>
      <c r="F8" s="324"/>
      <c r="G8" s="324"/>
      <c r="H8" s="324"/>
      <c r="I8" s="324"/>
      <c r="J8" s="324"/>
      <c r="K8" s="324"/>
    </row>
    <row r="9" spans="1:11" s="78" customFormat="1" x14ac:dyDescent="0.2">
      <c r="A9" s="245" t="str">
        <f>'1. паспорт местоположение'!A10</f>
        <v xml:space="preserve">         (фирменное наименование субъекта электроэнергетики)</v>
      </c>
      <c r="B9" s="245"/>
      <c r="C9" s="245"/>
      <c r="D9" s="245"/>
      <c r="E9" s="245"/>
      <c r="F9" s="245"/>
      <c r="G9" s="245"/>
      <c r="H9" s="245"/>
      <c r="I9" s="245"/>
      <c r="J9" s="245"/>
      <c r="K9" s="245"/>
    </row>
    <row r="10" spans="1:11" s="78" customFormat="1" ht="18.75" x14ac:dyDescent="0.2">
      <c r="A10" s="160"/>
      <c r="B10" s="160"/>
      <c r="C10" s="160"/>
      <c r="D10" s="160"/>
      <c r="E10" s="160"/>
      <c r="F10" s="160"/>
      <c r="G10" s="239"/>
      <c r="H10" s="239"/>
      <c r="I10" s="239"/>
      <c r="J10" s="239"/>
      <c r="K10" s="239"/>
    </row>
    <row r="11" spans="1:11" s="78" customFormat="1" x14ac:dyDescent="0.2">
      <c r="A11" s="240" t="str">
        <f>'1. паспорт местоположение'!A12</f>
        <v>L_Che378</v>
      </c>
      <c r="B11" s="240"/>
      <c r="C11" s="240"/>
      <c r="D11" s="240"/>
      <c r="E11" s="240"/>
      <c r="F11" s="240"/>
      <c r="G11" s="240"/>
      <c r="H11" s="240"/>
      <c r="I11" s="240"/>
      <c r="J11" s="240"/>
      <c r="K11" s="240"/>
    </row>
    <row r="12" spans="1:11" s="78" customFormat="1" x14ac:dyDescent="0.2">
      <c r="A12" s="245" t="str">
        <f>'1. паспорт местоположение'!A13</f>
        <v xml:space="preserve">         (идентификатор инвестиционного проекта)</v>
      </c>
      <c r="B12" s="245"/>
      <c r="C12" s="245"/>
      <c r="D12" s="245"/>
      <c r="E12" s="245"/>
      <c r="F12" s="245"/>
      <c r="G12" s="245"/>
      <c r="H12" s="245"/>
      <c r="I12" s="245"/>
      <c r="J12" s="245"/>
      <c r="K12" s="245"/>
    </row>
    <row r="13" spans="1:11" s="81" customFormat="1" ht="15.75" customHeight="1" x14ac:dyDescent="0.2">
      <c r="A13" s="163"/>
      <c r="B13" s="163"/>
      <c r="C13" s="163"/>
      <c r="D13" s="163"/>
      <c r="E13" s="163"/>
      <c r="F13" s="163"/>
      <c r="G13" s="273"/>
      <c r="H13" s="273"/>
      <c r="I13" s="273"/>
      <c r="J13" s="273"/>
      <c r="K13" s="273"/>
    </row>
    <row r="14" spans="1:11" s="25" customFormat="1" x14ac:dyDescent="0.2">
      <c r="A14" s="240"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4" s="240"/>
      <c r="C14" s="240"/>
      <c r="D14" s="240"/>
      <c r="E14" s="240"/>
      <c r="F14" s="240"/>
      <c r="G14" s="240"/>
      <c r="H14" s="240"/>
      <c r="I14" s="240"/>
      <c r="J14" s="240"/>
      <c r="K14" s="240"/>
    </row>
    <row r="15" spans="1:11" s="25" customFormat="1" ht="15" customHeight="1" x14ac:dyDescent="0.2">
      <c r="A15" s="245" t="str">
        <f>'1. паспорт местоположение'!A16</f>
        <v xml:space="preserve">         (наименование инвестиционного проекта)</v>
      </c>
      <c r="B15" s="245"/>
      <c r="C15" s="245"/>
      <c r="D15" s="245"/>
      <c r="E15" s="245"/>
      <c r="F15" s="245"/>
      <c r="G15" s="245"/>
      <c r="H15" s="245"/>
      <c r="I15" s="245"/>
      <c r="J15" s="245"/>
      <c r="K15" s="245"/>
    </row>
    <row r="16" spans="1:11" s="25" customFormat="1" ht="15" customHeight="1" x14ac:dyDescent="0.2">
      <c r="A16" s="15"/>
      <c r="B16" s="15"/>
      <c r="C16" s="15"/>
      <c r="D16" s="15"/>
      <c r="E16" s="15"/>
      <c r="F16" s="15"/>
      <c r="G16" s="15"/>
      <c r="H16" s="15"/>
      <c r="I16" s="15"/>
      <c r="J16" s="15"/>
      <c r="K16" s="15"/>
    </row>
    <row r="17" spans="1:14" ht="18.75" customHeight="1" x14ac:dyDescent="0.25">
      <c r="A17" s="161"/>
      <c r="B17" s="161"/>
      <c r="C17" s="161"/>
      <c r="D17" s="161"/>
      <c r="E17" s="161"/>
      <c r="F17" s="161"/>
      <c r="G17" s="161"/>
      <c r="H17" s="161"/>
      <c r="I17" s="161"/>
      <c r="J17" s="161"/>
      <c r="K17" s="161"/>
    </row>
    <row r="19" spans="1:14" x14ac:dyDescent="0.25">
      <c r="A19" s="313" t="s">
        <v>246</v>
      </c>
      <c r="B19" s="313"/>
      <c r="C19" s="313"/>
      <c r="D19" s="313"/>
      <c r="E19" s="313"/>
      <c r="F19" s="313"/>
      <c r="G19" s="313"/>
      <c r="H19" s="313"/>
      <c r="I19" s="313"/>
      <c r="J19" s="313"/>
      <c r="K19" s="313"/>
    </row>
    <row r="20" spans="1:14" ht="15.75" customHeight="1" x14ac:dyDescent="0.25">
      <c r="A20" s="305" t="s">
        <v>101</v>
      </c>
      <c r="B20" s="305" t="s">
        <v>100</v>
      </c>
      <c r="C20" s="307" t="s">
        <v>99</v>
      </c>
      <c r="D20" s="308"/>
      <c r="E20" s="309" t="s">
        <v>98</v>
      </c>
      <c r="F20" s="310"/>
      <c r="G20" s="305" t="s">
        <v>516</v>
      </c>
      <c r="H20" s="317" t="s">
        <v>517</v>
      </c>
      <c r="I20" s="318"/>
      <c r="J20" s="318"/>
      <c r="K20" s="319"/>
    </row>
    <row r="21" spans="1:14" ht="33" customHeight="1" x14ac:dyDescent="0.25">
      <c r="A21" s="306"/>
      <c r="B21" s="306"/>
      <c r="C21" s="295"/>
      <c r="D21" s="296"/>
      <c r="E21" s="311"/>
      <c r="F21" s="312"/>
      <c r="G21" s="306"/>
      <c r="H21" s="315" t="s">
        <v>0</v>
      </c>
      <c r="I21" s="316"/>
      <c r="J21" s="315" t="s">
        <v>425</v>
      </c>
      <c r="K21" s="316"/>
      <c r="L21" s="48"/>
      <c r="M21" s="48"/>
      <c r="N21" s="48"/>
    </row>
    <row r="22" spans="1:14" ht="99.75" customHeight="1" x14ac:dyDescent="0.25">
      <c r="A22" s="301"/>
      <c r="B22" s="301"/>
      <c r="C22" s="196" t="s">
        <v>0</v>
      </c>
      <c r="D22" s="196" t="s">
        <v>425</v>
      </c>
      <c r="E22" s="66" t="s">
        <v>518</v>
      </c>
      <c r="F22" s="66" t="s">
        <v>519</v>
      </c>
      <c r="G22" s="301"/>
      <c r="H22" s="49" t="s">
        <v>501</v>
      </c>
      <c r="I22" s="49" t="s">
        <v>502</v>
      </c>
      <c r="J22" s="49" t="s">
        <v>501</v>
      </c>
      <c r="K22" s="49" t="s">
        <v>502</v>
      </c>
    </row>
    <row r="23" spans="1:14" x14ac:dyDescent="0.25">
      <c r="A23" s="158">
        <v>1</v>
      </c>
      <c r="B23" s="158">
        <v>2</v>
      </c>
      <c r="C23" s="179">
        <v>3</v>
      </c>
      <c r="D23" s="179">
        <v>4</v>
      </c>
      <c r="E23" s="179">
        <v>5</v>
      </c>
      <c r="F23" s="179">
        <v>6</v>
      </c>
      <c r="G23" s="179">
        <v>7</v>
      </c>
      <c r="H23" s="179">
        <v>8</v>
      </c>
      <c r="I23" s="179">
        <v>9</v>
      </c>
      <c r="J23" s="179">
        <v>10</v>
      </c>
      <c r="K23" s="179">
        <v>11</v>
      </c>
    </row>
    <row r="24" spans="1:14" ht="47.25" x14ac:dyDescent="0.25">
      <c r="A24" s="50">
        <v>1</v>
      </c>
      <c r="B24" s="51" t="s">
        <v>97</v>
      </c>
      <c r="C24" s="178">
        <f>VLOOKUP($A$11,'[1]6.2. отчет'!$D:$K,2,0)</f>
        <v>204.46566281732402</v>
      </c>
      <c r="D24" s="178">
        <f>VLOOKUP($A$11,'[1]6.2. отчет'!$D:$K,5,0)</f>
        <v>142.52696514200002</v>
      </c>
      <c r="E24" s="178">
        <f>VLOOKUP($A$11,'[1]6.2. отчет'!$D:$K,7,0)</f>
        <v>92.528634765323986</v>
      </c>
      <c r="F24" s="178">
        <f>VLOOKUP($A$11,'[1]6.2. отчет'!$D:$K,8,0)</f>
        <v>68.005961175323989</v>
      </c>
      <c r="G24" s="178">
        <f>VLOOKUP($A$11,'[1]6.2. отчет'!$D:$BL,9,0)</f>
        <v>24.522673589999997</v>
      </c>
      <c r="H24" s="178">
        <f>VLOOKUP($A$11,'[1]6.2. отчет'!$D:$BL,15,0)</f>
        <v>68.005961175324003</v>
      </c>
      <c r="I24" s="178">
        <f>VLOOKUP($A$11,'[1]6.2. отчет'!$D:$CU,45,0)</f>
        <v>0</v>
      </c>
      <c r="J24" s="178">
        <f>VLOOKUP($A$11,'[1]6.2. отчет'!$D:$BL,56,0)</f>
        <v>6.0672635000000001</v>
      </c>
      <c r="K24" s="178">
        <f>VLOOKUP($A$11,'[1]6.2. отчет'!$D:$CU,86,0)</f>
        <v>6.0672635000000001</v>
      </c>
    </row>
    <row r="25" spans="1:14" s="52" customFormat="1" ht="47.25" customHeight="1" x14ac:dyDescent="0.25">
      <c r="A25" s="53" t="s">
        <v>96</v>
      </c>
      <c r="B25" s="54" t="s">
        <v>95</v>
      </c>
      <c r="C25" s="178">
        <f t="shared" ref="C25:C26" si="0">H25</f>
        <v>0</v>
      </c>
      <c r="D25" s="178">
        <f>G25+J25</f>
        <v>0</v>
      </c>
      <c r="E25" s="178">
        <f t="shared" ref="E25:E28" si="1">F25+G25</f>
        <v>0</v>
      </c>
      <c r="F25" s="178">
        <f t="shared" ref="F25:F26" si="2">J25</f>
        <v>0</v>
      </c>
      <c r="G25" s="178">
        <f>VLOOKUP($A$11,'[1]6.2. отчет'!$D:$BL,10,0)</f>
        <v>0</v>
      </c>
      <c r="H25" s="178">
        <f>VLOOKUP($A$11,'[1]6.2. отчет'!$D:$BL,16,0)</f>
        <v>0</v>
      </c>
      <c r="I25" s="178">
        <f>IF(H25=0,0,VLOOKUP($A$11,'[1]6.2. отчет'!$D:$CU,46,0))</f>
        <v>0</v>
      </c>
      <c r="J25" s="178">
        <f>VLOOKUP($A$11,'[1]6.2. отчет'!$D:$BL,57,0)</f>
        <v>0</v>
      </c>
      <c r="K25" s="178">
        <f>IF(J25=0,0,VLOOKUP($A$11,'[1]6.2. отчет'!$D:$CU,87,0))</f>
        <v>0</v>
      </c>
    </row>
    <row r="26" spans="1:14" ht="24" customHeight="1" x14ac:dyDescent="0.25">
      <c r="A26" s="53" t="s">
        <v>94</v>
      </c>
      <c r="B26" s="54" t="s">
        <v>93</v>
      </c>
      <c r="C26" s="178">
        <f t="shared" si="0"/>
        <v>0</v>
      </c>
      <c r="D26" s="178">
        <f>G26+J26</f>
        <v>0</v>
      </c>
      <c r="E26" s="178">
        <f t="shared" si="1"/>
        <v>0</v>
      </c>
      <c r="F26" s="178">
        <f t="shared" si="2"/>
        <v>0</v>
      </c>
      <c r="G26" s="178">
        <f>VLOOKUP($A$11,'[1]6.2. отчет'!$D:$BL,11,0)</f>
        <v>0</v>
      </c>
      <c r="H26" s="178">
        <f>VLOOKUP($A$11,'[1]6.2. отчет'!$D:$BL,17,0)</f>
        <v>0</v>
      </c>
      <c r="I26" s="178">
        <f>IF(H26=0,0,VLOOKUP($A$11,'[1]6.2. отчет'!$D:$CU,47,0))</f>
        <v>0</v>
      </c>
      <c r="J26" s="178">
        <f>VLOOKUP($A$11,'[1]6.2. отчет'!$D:$BL,58,0)</f>
        <v>0</v>
      </c>
      <c r="K26" s="178">
        <f>IF(J26=0,0,VLOOKUP($A$11,'[1]6.2. отчет'!$D:$CU,88,0))</f>
        <v>0</v>
      </c>
    </row>
    <row r="27" spans="1:14" ht="31.5" x14ac:dyDescent="0.25">
      <c r="A27" s="53" t="s">
        <v>92</v>
      </c>
      <c r="B27" s="54" t="s">
        <v>197</v>
      </c>
      <c r="C27" s="178">
        <f>IF(C24="нд","нд",C24-(C29+C28+C26+C25))</f>
        <v>136.45970164200003</v>
      </c>
      <c r="D27" s="178">
        <f>G27+J27+D24-(G24+J24)</f>
        <v>114.73707253533335</v>
      </c>
      <c r="E27" s="178">
        <f>F27+G27</f>
        <v>70.806005658657327</v>
      </c>
      <c r="F27" s="178">
        <f>F24-(F25+F26+F28+F29)</f>
        <v>68.005961175323989</v>
      </c>
      <c r="G27" s="178">
        <f>VLOOKUP($A$11,'[1]6.2. отчет'!$D:$BL,12,0)</f>
        <v>2.8000444833333336</v>
      </c>
      <c r="H27" s="178">
        <f>VLOOKUP($A$11,'[1]6.2. отчет'!$D:$BL,18,0)</f>
        <v>0</v>
      </c>
      <c r="I27" s="178">
        <f>IF(H27=0,0,VLOOKUP($A$11,'[1]6.2. отчет'!$D:$CU,48,0))</f>
        <v>0</v>
      </c>
      <c r="J27" s="178">
        <f>VLOOKUP($A$11,'[1]6.2. отчет'!$D:$BL,59,0)</f>
        <v>0</v>
      </c>
      <c r="K27" s="178">
        <f>IF(J27=0,0,VLOOKUP($A$11,'[1]6.2. отчет'!$D:$CU,89,0))</f>
        <v>0</v>
      </c>
    </row>
    <row r="28" spans="1:14" x14ac:dyDescent="0.25">
      <c r="A28" s="53" t="s">
        <v>91</v>
      </c>
      <c r="B28" s="54" t="s">
        <v>90</v>
      </c>
      <c r="C28" s="178">
        <f>H28</f>
        <v>0</v>
      </c>
      <c r="D28" s="178">
        <f t="shared" ref="D28:D29" si="3">G28+J28</f>
        <v>0</v>
      </c>
      <c r="E28" s="178">
        <f t="shared" si="1"/>
        <v>0</v>
      </c>
      <c r="F28" s="178">
        <v>0</v>
      </c>
      <c r="G28" s="178">
        <f>VLOOKUP($A$11,'[1]6.2. отчет'!$D:$BL,13,0)</f>
        <v>0</v>
      </c>
      <c r="H28" s="178">
        <f>VLOOKUP($A$11,'[1]6.2. отчет'!$D:$BL,19,0)</f>
        <v>0</v>
      </c>
      <c r="I28" s="178">
        <f>IF(H28=0,0,VLOOKUP($A$11,'[1]6.2. отчет'!$D:$CU,49,0))</f>
        <v>0</v>
      </c>
      <c r="J28" s="178">
        <f>VLOOKUP($A$11,'[1]6.2. отчет'!$D:$BL,60,0)</f>
        <v>0</v>
      </c>
      <c r="K28" s="178">
        <f>IF(J28=0,0,VLOOKUP($A$11,'[1]6.2. отчет'!$D:$CU,90,0))</f>
        <v>0</v>
      </c>
    </row>
    <row r="29" spans="1:14" x14ac:dyDescent="0.25">
      <c r="A29" s="53" t="s">
        <v>89</v>
      </c>
      <c r="B29" s="56" t="s">
        <v>88</v>
      </c>
      <c r="C29" s="178">
        <f>H29</f>
        <v>68.005961175324003</v>
      </c>
      <c r="D29" s="178">
        <f t="shared" si="3"/>
        <v>27.789892606666662</v>
      </c>
      <c r="E29" s="178">
        <f>F29+G29</f>
        <v>21.722629106666663</v>
      </c>
      <c r="F29" s="178">
        <v>0</v>
      </c>
      <c r="G29" s="178">
        <f>VLOOKUP($A$11,'[1]6.2. отчет'!$D:$BL,14,0)</f>
        <v>21.722629106666663</v>
      </c>
      <c r="H29" s="178">
        <f>VLOOKUP($A$11,'[1]6.2. отчет'!$D:$BL,20,0)</f>
        <v>68.005961175324003</v>
      </c>
      <c r="I29" s="178">
        <f>IF(H29=0,0,VLOOKUP($A$11,'[1]6.2. отчет'!$D:$CU,50,0))</f>
        <v>0</v>
      </c>
      <c r="J29" s="178">
        <f>VLOOKUP($A$11,'[1]6.2. отчет'!$D:$BL,61,0)</f>
        <v>6.0672635000000001</v>
      </c>
      <c r="K29" s="178">
        <f>IF(J29=0,0,VLOOKUP($A$11,'[1]6.2. отчет'!$D:$CU,91,0))</f>
        <v>6.0672635000000001</v>
      </c>
    </row>
    <row r="30" spans="1:14" ht="47.25" x14ac:dyDescent="0.25">
      <c r="A30" s="50" t="s">
        <v>17</v>
      </c>
      <c r="B30" s="51" t="s">
        <v>87</v>
      </c>
      <c r="C30" s="178">
        <f>VLOOKUP($A$11,'[1]6.2. отчет'!$D:$DB,99,0)</f>
        <v>171.98192827012397</v>
      </c>
      <c r="D30" s="178">
        <f>VLOOKUP($A$11,'[1]6.2. отчет'!$D:$FK,106,0)</f>
        <v>119.65261705999998</v>
      </c>
      <c r="E30" s="178">
        <f>VLOOKUP($A$11,'[1]6.2. отчет'!$D:$FK,108,0)</f>
        <v>74.167111730123992</v>
      </c>
      <c r="F30" s="178">
        <f>VLOOKUP($A$11,'[1]6.2. отчет'!$D:$FK,109,0)</f>
        <v>52.32931121012399</v>
      </c>
      <c r="G30" s="178">
        <f>VLOOKUP($A$11,'[1]6.2. отчет'!$D:$FK,110,0)</f>
        <v>21.837800520000002</v>
      </c>
      <c r="H30" s="178">
        <f>VLOOKUP($A$11,'[1]6.2. отчет'!$D:$FK,115,0)</f>
        <v>52.32931121012399</v>
      </c>
      <c r="I30" s="178">
        <f>VLOOKUP($A$11,'[1]6.2. отчет'!$D:$AGP,124,0)</f>
        <v>0</v>
      </c>
      <c r="J30" s="178">
        <f>VLOOKUP($A$11,'[1]6.2. отчет'!$D:$FK,130,0)</f>
        <v>0</v>
      </c>
      <c r="K30" s="178">
        <f>VLOOKUP($A$11,'[1]6.2. отчет'!$D:$FK,155,0)</f>
        <v>0</v>
      </c>
      <c r="M30" s="64"/>
      <c r="N30" s="64"/>
    </row>
    <row r="31" spans="1:14" s="52" customFormat="1" x14ac:dyDescent="0.25">
      <c r="A31" s="50" t="s">
        <v>86</v>
      </c>
      <c r="B31" s="54" t="s">
        <v>85</v>
      </c>
      <c r="C31" s="178">
        <f>VLOOKUP($A$11,'[1]6.2. отчет'!$D:$DB,100,0)</f>
        <v>10.877186010000001</v>
      </c>
      <c r="D31" s="178">
        <v>10.877186009999999</v>
      </c>
      <c r="E31" s="178">
        <f>F31+G31</f>
        <v>0</v>
      </c>
      <c r="F31" s="178">
        <v>0</v>
      </c>
      <c r="G31" s="178">
        <f>VLOOKUP($A$11,'[1]6.2. отчет'!$D:$FK,111,0)</f>
        <v>0</v>
      </c>
      <c r="H31" s="178">
        <v>0</v>
      </c>
      <c r="I31" s="178">
        <f>IF(H31=0,0,VLOOKUP($A$11,'[1]6.2. отчет'!$D:$CU,50,0))</f>
        <v>0</v>
      </c>
      <c r="J31" s="178">
        <f>VLOOKUP($A$11,'[1]6.2. отчет'!$D:$FK,131,0)</f>
        <v>0</v>
      </c>
      <c r="K31" s="178">
        <f>IF(J31=0,0,VLOOKUP($A$11,'[1]6.2. отчет'!$D:$FK,156,0))</f>
        <v>0</v>
      </c>
      <c r="M31" s="64"/>
      <c r="N31" s="64"/>
    </row>
    <row r="32" spans="1:14" ht="31.5" x14ac:dyDescent="0.25">
      <c r="A32" s="50" t="s">
        <v>84</v>
      </c>
      <c r="B32" s="54" t="s">
        <v>83</v>
      </c>
      <c r="C32" s="178">
        <f>VLOOKUP($A$11,'[1]6.2. отчет'!$D:$DB,101,0)</f>
        <v>127.2782972</v>
      </c>
      <c r="D32" s="178">
        <v>81.574832810000004</v>
      </c>
      <c r="E32" s="178">
        <f t="shared" ref="E32:E34" si="4">F32+G32</f>
        <v>59.839851779999989</v>
      </c>
      <c r="F32" s="178">
        <v>45.703464389999994</v>
      </c>
      <c r="G32" s="178">
        <f>VLOOKUP($A$11,'[1]6.2. отчет'!$D:$FK,112,0)</f>
        <v>14.136387389999999</v>
      </c>
      <c r="H32" s="178">
        <f>H30-H33-H34</f>
        <v>45.703464390000015</v>
      </c>
      <c r="I32" s="178">
        <v>0</v>
      </c>
      <c r="J32" s="178">
        <f>VLOOKUP($A$11,'[1]6.2. отчет'!$D:$FK,132,0)</f>
        <v>0</v>
      </c>
      <c r="K32" s="178">
        <f>IF(J32=0,0,VLOOKUP($A$11,'[1]6.2. отчет'!$D:$FK,157,0))</f>
        <v>0</v>
      </c>
      <c r="L32" s="64"/>
      <c r="M32" s="64"/>
      <c r="N32" s="64"/>
    </row>
    <row r="33" spans="1:14" x14ac:dyDescent="0.25">
      <c r="A33" s="50" t="s">
        <v>82</v>
      </c>
      <c r="B33" s="54" t="s">
        <v>81</v>
      </c>
      <c r="C33" s="178">
        <f>VLOOKUP($A$11,'[1]6.2. отчет'!$D:$DB,102,0)</f>
        <v>20.719722800000003</v>
      </c>
      <c r="D33" s="178">
        <v>16.387593469999999</v>
      </c>
      <c r="E33" s="178">
        <f t="shared" si="4"/>
        <v>5.0941286700000044</v>
      </c>
      <c r="F33" s="178">
        <v>4.3321293300000043</v>
      </c>
      <c r="G33" s="178">
        <f>VLOOKUP($A$11,'[1]6.2. отчет'!$D:$FK,113,0)</f>
        <v>0.76199934000000002</v>
      </c>
      <c r="H33" s="178">
        <f>F33</f>
        <v>4.3321293300000043</v>
      </c>
      <c r="I33" s="178">
        <v>0</v>
      </c>
      <c r="J33" s="178">
        <f>VLOOKUP($A$11,'[1]6.2. отчет'!$D:$FK,133,0)</f>
        <v>0</v>
      </c>
      <c r="K33" s="178">
        <f>IF(J33=0,0,VLOOKUP($A$11,'[1]6.2. отчет'!$D:$FK,158,0))</f>
        <v>0</v>
      </c>
      <c r="L33" s="64"/>
      <c r="M33" s="64"/>
      <c r="N33" s="64"/>
    </row>
    <row r="34" spans="1:14" x14ac:dyDescent="0.25">
      <c r="A34" s="50" t="s">
        <v>80</v>
      </c>
      <c r="B34" s="54" t="s">
        <v>79</v>
      </c>
      <c r="C34" s="178">
        <f>VLOOKUP($A$11,'[1]6.2. отчет'!$D:$DB,103,0)</f>
        <v>13.106722260123975</v>
      </c>
      <c r="D34" s="178">
        <v>10.813004770000003</v>
      </c>
      <c r="E34" s="178">
        <f t="shared" si="4"/>
        <v>9.233131280123974</v>
      </c>
      <c r="F34" s="178">
        <v>2.2937174901239725</v>
      </c>
      <c r="G34" s="178">
        <f>VLOOKUP($A$11,'[1]6.2. отчет'!$D:$FK,114,0)</f>
        <v>6.9394137900000024</v>
      </c>
      <c r="H34" s="178">
        <f>F34</f>
        <v>2.2937174901239725</v>
      </c>
      <c r="I34" s="178">
        <v>0</v>
      </c>
      <c r="J34" s="178">
        <f>VLOOKUP($A$11,'[1]6.2. отчет'!$D:$FK,134,0)</f>
        <v>0</v>
      </c>
      <c r="K34" s="178">
        <f>IF(J34=0,0,VLOOKUP($A$11,'[1]6.2. отчет'!$D:$FK,159,0))</f>
        <v>0</v>
      </c>
      <c r="L34" s="64"/>
      <c r="M34" s="64"/>
      <c r="N34" s="64"/>
    </row>
    <row r="35" spans="1:14" ht="31.5" x14ac:dyDescent="0.25">
      <c r="A35" s="50" t="s">
        <v>16</v>
      </c>
      <c r="B35" s="51" t="s">
        <v>78</v>
      </c>
      <c r="C35" s="178"/>
      <c r="D35" s="178"/>
      <c r="E35" s="178"/>
      <c r="F35" s="178"/>
      <c r="G35" s="178"/>
      <c r="H35" s="178"/>
      <c r="I35" s="55"/>
      <c r="J35" s="178"/>
      <c r="K35" s="55"/>
      <c r="M35" s="52"/>
    </row>
    <row r="36" spans="1:14" s="52" customFormat="1" ht="31.5" x14ac:dyDescent="0.25">
      <c r="A36" s="53" t="s">
        <v>77</v>
      </c>
      <c r="B36" s="67" t="s">
        <v>76</v>
      </c>
      <c r="C36" s="178">
        <f>IF('1. паспорт местоположение'!$C$22="Прочие инвестиционные проекты",0,VLOOKUP($A$11,'[1]6.2. отчет'!$D:$FX,168,0))</f>
        <v>0</v>
      </c>
      <c r="D36" s="224">
        <v>0</v>
      </c>
      <c r="E36" s="178">
        <f>F36+G36</f>
        <v>0</v>
      </c>
      <c r="F36" s="178">
        <f>C36-G36</f>
        <v>0</v>
      </c>
      <c r="G36" s="224">
        <f>IF('1. паспорт местоположение'!$C$22="Прочие инвестиционные проекты",0,VLOOKUP($A$11,'[1]6.2. отчет'!$D:$GJ,180,0))</f>
        <v>0</v>
      </c>
      <c r="H36" s="178">
        <f>IF('1. паспорт местоположение'!$C$22="Прочие инвестиционные проекты",0,VLOOKUP($A$11,'[1]6.2. отчет'!$D:$AGO,191,0))</f>
        <v>0</v>
      </c>
      <c r="I36" s="178">
        <f>IF('1. паспорт местоположение'!$C$22="Прочие инвестиционные проекты",0,VLOOKUP($A$11,'[1]6.2. отчет'!$D:$AGO,246,0))</f>
        <v>0</v>
      </c>
      <c r="J36" s="178">
        <f>IF('1. паспорт местоположение'!$C$22="Прочие инвестиционные проекты",0,VLOOKUP($A$11,'[1]6.2. отчет'!$D:$AGO,257,0))</f>
        <v>0</v>
      </c>
      <c r="K36" s="178">
        <f>IF('1. паспорт местоположение'!$C$22="Прочие инвестиционные проекты",0,VLOOKUP($A$11,'[1]6.2. отчет'!$D:$AGO,312,0))</f>
        <v>0</v>
      </c>
    </row>
    <row r="37" spans="1:14" x14ac:dyDescent="0.25">
      <c r="A37" s="53" t="s">
        <v>75</v>
      </c>
      <c r="B37" s="67" t="s">
        <v>65</v>
      </c>
      <c r="C37" s="178">
        <f>IF('1. паспорт местоположение'!$C$22="Прочие инвестиционные проекты",0,VLOOKUP($A$11,'[1]6.2. отчет'!$D:$FX,169,0))</f>
        <v>8.86</v>
      </c>
      <c r="D37" s="224">
        <f>VLOOKUP($A$11,'[1]6.2. отчет'!$D:$OZ,410,0)</f>
        <v>5.16</v>
      </c>
      <c r="E37" s="178">
        <f t="shared" ref="E37:E42" si="5">F37+G37</f>
        <v>8.86</v>
      </c>
      <c r="F37" s="178">
        <f t="shared" ref="F37:F42" si="6">C37-G37</f>
        <v>3.6999999999999993</v>
      </c>
      <c r="G37" s="224">
        <f>IF('1. паспорт местоположение'!$C$22="Прочие инвестиционные проекты",0,VLOOKUP($A$11,'[1]6.2. отчет'!$D:$GJ,181,0))</f>
        <v>5.16</v>
      </c>
      <c r="H37" s="178">
        <f>IF('1. паспорт местоположение'!$C$22="Прочие инвестиционные проекты",0,VLOOKUP($A$11,'[1]6.2. отчет'!$D:$AGO,192,0))</f>
        <v>8.86</v>
      </c>
      <c r="I37" s="178">
        <f>IF('1. паспорт местоположение'!$C$22="Прочие инвестиционные проекты",0,VLOOKUP($A$11,'[1]6.2. отчет'!$D:$AGO,247,0))</f>
        <v>0</v>
      </c>
      <c r="J37" s="178">
        <f>IF('1. паспорт местоположение'!$C$22="Прочие инвестиционные проекты",0,VLOOKUP($A$11,'[1]6.2. отчет'!$D:$AGO,258,0))</f>
        <v>0</v>
      </c>
      <c r="K37" s="178">
        <f>IF('1. паспорт местоположение'!$C$22="Прочие инвестиционные проекты",0,VLOOKUP($A$11,'[1]6.2. отчет'!$D:$AGO,313,0))</f>
        <v>0</v>
      </c>
    </row>
    <row r="38" spans="1:14" x14ac:dyDescent="0.25">
      <c r="A38" s="53" t="s">
        <v>74</v>
      </c>
      <c r="B38" s="67" t="s">
        <v>63</v>
      </c>
      <c r="C38" s="178">
        <f>IF('1. паспорт местоположение'!$C$22="Прочие инвестиционные проекты",0,VLOOKUP($A$11,'[1]6.2. отчет'!$D:$FX,170,0))</f>
        <v>0</v>
      </c>
      <c r="D38" s="224">
        <f>VLOOKUP($A$11,'[1]6.2. отчет'!$D:$OZ,411,0)</f>
        <v>0</v>
      </c>
      <c r="E38" s="178">
        <f t="shared" si="5"/>
        <v>0</v>
      </c>
      <c r="F38" s="178">
        <f t="shared" si="6"/>
        <v>0</v>
      </c>
      <c r="G38" s="224">
        <f>IF('1. паспорт местоположение'!$C$22="Прочие инвестиционные проекты",0,VLOOKUP($A$11,'[1]6.2. отчет'!$D:$GJ,182,0))</f>
        <v>0</v>
      </c>
      <c r="H38" s="178">
        <f>IF('1. паспорт местоположение'!$C$22="Прочие инвестиционные проекты",0,VLOOKUP($A$11,'[1]6.2. отчет'!$D:$AGO,193,0))</f>
        <v>0</v>
      </c>
      <c r="I38" s="178">
        <f>IF('1. паспорт местоположение'!$C$22="Прочие инвестиционные проекты",0,VLOOKUP($A$11,'[1]6.2. отчет'!$D:$AGO,248,0))</f>
        <v>0</v>
      </c>
      <c r="J38" s="178">
        <f>IF('1. паспорт местоположение'!$C$22="Прочие инвестиционные проекты",0,VLOOKUP($A$11,'[1]6.2. отчет'!$D:$AGO,259,0))</f>
        <v>0</v>
      </c>
      <c r="K38" s="178">
        <f>IF('1. паспорт местоположение'!$C$22="Прочие инвестиционные проекты",0,VLOOKUP($A$11,'[1]6.2. отчет'!$D:$AGO,314,0))</f>
        <v>0</v>
      </c>
    </row>
    <row r="39" spans="1:14" ht="31.5" x14ac:dyDescent="0.25">
      <c r="A39" s="53" t="s">
        <v>73</v>
      </c>
      <c r="B39" s="54" t="s">
        <v>61</v>
      </c>
      <c r="C39" s="178">
        <f>IF('1. паспорт местоположение'!$C$22="Прочие инвестиционные проекты",0,VLOOKUP($A$11,'[1]6.2. отчет'!$D:$FX,172,0))</f>
        <v>126.229</v>
      </c>
      <c r="D39" s="224">
        <f>VLOOKUP($A$11,'[1]6.2. отчет'!$D:$OZ,409,0)</f>
        <v>107.18</v>
      </c>
      <c r="E39" s="178">
        <f t="shared" si="5"/>
        <v>126.229</v>
      </c>
      <c r="F39" s="178">
        <f t="shared" si="6"/>
        <v>19.048999999999992</v>
      </c>
      <c r="G39" s="224">
        <f>IF('1. паспорт местоположение'!$C$22="Прочие инвестиционные проекты",0,VLOOKUP($A$11,'[1]6.2. отчет'!$D:$GJ,184,0))</f>
        <v>107.18</v>
      </c>
      <c r="H39" s="178">
        <f>IF('1. паспорт местоположение'!$C$22="Прочие инвестиционные проекты",0,VLOOKUP($A$11,'[1]6.2. отчет'!$D:$AGO,195,0))</f>
        <v>126.229</v>
      </c>
      <c r="I39" s="178">
        <f>IF('1. паспорт местоположение'!$C$22="Прочие инвестиционные проекты",0,VLOOKUP($A$11,'[1]6.2. отчет'!$D:$AGO,250,0))</f>
        <v>0</v>
      </c>
      <c r="J39" s="178">
        <f>IF('1. паспорт местоположение'!$C$22="Прочие инвестиционные проекты",0,VLOOKUP($A$11,'[1]6.2. отчет'!$D:$AGO,261,0))</f>
        <v>0</v>
      </c>
      <c r="K39" s="178">
        <f>IF('1. паспорт местоположение'!$C$22="Прочие инвестиционные проекты",0,VLOOKUP($A$11,'[1]6.2. отчет'!$D:$AGO,316,0))</f>
        <v>0</v>
      </c>
    </row>
    <row r="40" spans="1:14" ht="31.5" x14ac:dyDescent="0.25">
      <c r="A40" s="53" t="s">
        <v>72</v>
      </c>
      <c r="B40" s="54" t="s">
        <v>59</v>
      </c>
      <c r="C40" s="178">
        <f>IF('1. паспорт местоположение'!$C$22="Прочие инвестиционные проекты",0,VLOOKUP($A$11,'[1]6.2. отчет'!$D:$FX,173,0))</f>
        <v>0</v>
      </c>
      <c r="D40" s="224">
        <v>0</v>
      </c>
      <c r="E40" s="178">
        <f t="shared" si="5"/>
        <v>0</v>
      </c>
      <c r="F40" s="178">
        <f t="shared" si="6"/>
        <v>0</v>
      </c>
      <c r="G40" s="224">
        <f>IF('1. паспорт местоположение'!$C$22="Прочие инвестиционные проекты",0,VLOOKUP($A$11,'[1]6.2. отчет'!$D:$GJ,185,0))</f>
        <v>0</v>
      </c>
      <c r="H40" s="178">
        <f>IF('1. паспорт местоположение'!$C$22="Прочие инвестиционные проекты",0,VLOOKUP($A$11,'[1]6.2. отчет'!$D:$AGO,196,0))</f>
        <v>0</v>
      </c>
      <c r="I40" s="178">
        <f>IF('1. паспорт местоположение'!$C$22="Прочие инвестиционные проекты",0,VLOOKUP($A$11,'[1]6.2. отчет'!$D:$AGO,251,0))</f>
        <v>0</v>
      </c>
      <c r="J40" s="178">
        <f>IF('1. паспорт местоположение'!$C$22="Прочие инвестиционные проекты",0,VLOOKUP($A$11,'[1]6.2. отчет'!$D:$AGO,262,0))</f>
        <v>0</v>
      </c>
      <c r="K40" s="178">
        <f>IF('1. паспорт местоположение'!$C$22="Прочие инвестиционные проекты",0,VLOOKUP($A$11,'[1]6.2. отчет'!$D:$AGO,317,0))</f>
        <v>0</v>
      </c>
    </row>
    <row r="41" spans="1:14" x14ac:dyDescent="0.25">
      <c r="A41" s="53" t="s">
        <v>71</v>
      </c>
      <c r="B41" s="54" t="s">
        <v>57</v>
      </c>
      <c r="C41" s="178">
        <f>IF('1. паспорт местоположение'!$C$22="Прочие инвестиционные проекты",0,VLOOKUP($A$11,'[1]6.2. отчет'!$D:$FX,174,0))</f>
        <v>0</v>
      </c>
      <c r="D41" s="224">
        <v>0</v>
      </c>
      <c r="E41" s="178">
        <f t="shared" si="5"/>
        <v>0</v>
      </c>
      <c r="F41" s="178">
        <f t="shared" si="6"/>
        <v>0</v>
      </c>
      <c r="G41" s="224">
        <f>IF('1. паспорт местоположение'!$C$22="Прочие инвестиционные проекты",0,VLOOKUP($A$11,'[1]6.2. отчет'!$D:$GJ,186,0))</f>
        <v>0</v>
      </c>
      <c r="H41" s="178">
        <f>IF('1. паспорт местоположение'!$C$22="Прочие инвестиционные проекты",0,VLOOKUP($A$11,'[1]6.2. отчет'!$D:$AGO,197,0))</f>
        <v>0</v>
      </c>
      <c r="I41" s="178">
        <f>IF('1. паспорт местоположение'!$C$22="Прочие инвестиционные проекты",0,VLOOKUP($A$11,'[1]6.2. отчет'!$D:$AGO,252,0))</f>
        <v>0</v>
      </c>
      <c r="J41" s="178">
        <f>IF('1. паспорт местоположение'!$C$22="Прочие инвестиционные проекты",0,VLOOKUP($A$11,'[1]6.2. отчет'!$D:$AGO,263,0))</f>
        <v>0</v>
      </c>
      <c r="K41" s="178">
        <f>IF('1. паспорт местоположение'!$C$22="Прочие инвестиционные проекты",0,VLOOKUP($A$11,'[1]6.2. отчет'!$D:$AGO,318,0))</f>
        <v>0</v>
      </c>
    </row>
    <row r="42" spans="1:14" x14ac:dyDescent="0.25">
      <c r="A42" s="53" t="s">
        <v>70</v>
      </c>
      <c r="B42" s="67" t="s">
        <v>450</v>
      </c>
      <c r="C42" s="178">
        <f>IF('1. паспорт местоположение'!$C$22="Прочие инвестиционные проекты",0,VLOOKUP($A$11,'[1]6.2. отчет'!$D:$FX,177,0))</f>
        <v>0</v>
      </c>
      <c r="D42" s="224">
        <f>VLOOKUP($A$11,'[1]6.2. отчет'!$D:$OZ,412,0)</f>
        <v>0</v>
      </c>
      <c r="E42" s="178">
        <f t="shared" si="5"/>
        <v>0</v>
      </c>
      <c r="F42" s="178">
        <f t="shared" si="6"/>
        <v>0</v>
      </c>
      <c r="G42" s="224">
        <f>IF('1. паспорт местоположение'!$C$22="Прочие инвестиционные проекты",0,VLOOKUP($A$11,'[1]6.2. отчет'!$D:$GJ,189,0))</f>
        <v>0</v>
      </c>
      <c r="H42" s="178">
        <f>IF('1. паспорт местоположение'!$C$22="Прочие инвестиционные проекты",0,VLOOKUP($A$11,'[1]6.2. отчет'!$D:$AGO,200,0))</f>
        <v>0</v>
      </c>
      <c r="I42" s="178">
        <f>IF('1. паспорт местоположение'!$C$22="Прочие инвестиционные проекты",0,VLOOKUP($A$11,'[1]6.2. отчет'!$D:$AGO,255,0))</f>
        <v>0</v>
      </c>
      <c r="J42" s="178">
        <f>IF('1. паспорт местоположение'!$C$22="Прочие инвестиционные проекты",0,VLOOKUP($A$11,'[1]6.2. отчет'!$D:$AGO,266,0))</f>
        <v>0</v>
      </c>
      <c r="K42" s="178">
        <f>IF('1. паспорт местоположение'!$C$22="Прочие инвестиционные проекты",0,VLOOKUP($A$11,'[1]6.2. отчет'!$D:$AGO,321,0))</f>
        <v>0</v>
      </c>
    </row>
    <row r="43" spans="1:14" x14ac:dyDescent="0.25">
      <c r="A43" s="50" t="s">
        <v>15</v>
      </c>
      <c r="B43" s="51" t="s">
        <v>69</v>
      </c>
      <c r="C43" s="178"/>
      <c r="D43" s="224"/>
      <c r="E43" s="178"/>
      <c r="F43" s="178"/>
      <c r="G43" s="178"/>
      <c r="H43" s="178"/>
      <c r="I43" s="55"/>
      <c r="J43" s="178"/>
      <c r="K43" s="55"/>
    </row>
    <row r="44" spans="1:14" s="52" customFormat="1" x14ac:dyDescent="0.25">
      <c r="A44" s="53" t="s">
        <v>68</v>
      </c>
      <c r="B44" s="54" t="s">
        <v>67</v>
      </c>
      <c r="C44" s="178">
        <f>VLOOKUP($A$11,'[1]6.2. отчет'!$D:$FX,168,0)</f>
        <v>0</v>
      </c>
      <c r="D44" s="224">
        <v>0</v>
      </c>
      <c r="E44" s="178">
        <f t="shared" ref="E44:E50" si="7">F44+G44</f>
        <v>0</v>
      </c>
      <c r="F44" s="178">
        <f t="shared" ref="F44:F50" si="8">C44-G44</f>
        <v>0</v>
      </c>
      <c r="G44" s="178">
        <f>VLOOKUP($A$11,'[1]6.2. отчет'!$D:$GJ,180,0)</f>
        <v>0</v>
      </c>
      <c r="H44" s="178">
        <f>VLOOKUP($A$11,'[1]6.2. отчет'!$D:$AGO,191,0)</f>
        <v>0</v>
      </c>
      <c r="I44" s="178">
        <f>VLOOKUP($A$11,'[1]6.2. отчет'!$D:$AGO,246,0)</f>
        <v>0</v>
      </c>
      <c r="J44" s="178">
        <f>VLOOKUP($A$11,'[1]6.2. отчет'!$D:$AGO,257,0)</f>
        <v>0</v>
      </c>
      <c r="K44" s="178">
        <f>VLOOKUP($A$11,'[1]6.2. отчет'!$D:$AGO,312,0)</f>
        <v>0</v>
      </c>
    </row>
    <row r="45" spans="1:14" x14ac:dyDescent="0.25">
      <c r="A45" s="53" t="s">
        <v>66</v>
      </c>
      <c r="B45" s="54" t="s">
        <v>65</v>
      </c>
      <c r="C45" s="178">
        <f>VLOOKUP($A$11,'[1]6.2. отчет'!$D:$FX,169,0)</f>
        <v>8.86</v>
      </c>
      <c r="D45" s="224">
        <f>VLOOKUP($A$11,'[1]6.2. отчет'!$D:$OZ,410,0)</f>
        <v>5.16</v>
      </c>
      <c r="E45" s="178">
        <f t="shared" si="7"/>
        <v>8.86</v>
      </c>
      <c r="F45" s="178">
        <f t="shared" si="8"/>
        <v>3.6999999999999993</v>
      </c>
      <c r="G45" s="178">
        <f>VLOOKUP($A$11,'[1]6.2. отчет'!$D:$GJ,181,0)</f>
        <v>5.16</v>
      </c>
      <c r="H45" s="178">
        <f>VLOOKUP($A$11,'[1]6.2. отчет'!$D:$AGO,192,0)</f>
        <v>8.86</v>
      </c>
      <c r="I45" s="178">
        <f>VLOOKUP($A$11,'[1]6.2. отчет'!$D:$AGO,247,0)</f>
        <v>0</v>
      </c>
      <c r="J45" s="178">
        <f>VLOOKUP($A$11,'[1]6.2. отчет'!$D:$AGO,258,0)</f>
        <v>0</v>
      </c>
      <c r="K45" s="178">
        <f>VLOOKUP($A$11,'[1]6.2. отчет'!$D:$AGO,313,0)</f>
        <v>0</v>
      </c>
    </row>
    <row r="46" spans="1:14" x14ac:dyDescent="0.25">
      <c r="A46" s="53" t="s">
        <v>64</v>
      </c>
      <c r="B46" s="54" t="s">
        <v>63</v>
      </c>
      <c r="C46" s="178">
        <f>VLOOKUP($A$11,'[1]6.2. отчет'!$D:$FX,170,0)</f>
        <v>0</v>
      </c>
      <c r="D46" s="224">
        <f>VLOOKUP($A$11,'[1]6.2. отчет'!$D:$OZ,411,0)</f>
        <v>0</v>
      </c>
      <c r="E46" s="178">
        <f t="shared" si="7"/>
        <v>0</v>
      </c>
      <c r="F46" s="178">
        <f t="shared" si="8"/>
        <v>0</v>
      </c>
      <c r="G46" s="178">
        <f>VLOOKUP($A$11,'[1]6.2. отчет'!$D:$GJ,182,0)</f>
        <v>0</v>
      </c>
      <c r="H46" s="178">
        <f>VLOOKUP($A$11,'[1]6.2. отчет'!$D:$AGO,193,0)</f>
        <v>0</v>
      </c>
      <c r="I46" s="178">
        <f>VLOOKUP($A$11,'[1]6.2. отчет'!$D:$AGO,248,0)</f>
        <v>0</v>
      </c>
      <c r="J46" s="178">
        <f>VLOOKUP($A$11,'[1]6.2. отчет'!$D:$AGO,259,0)</f>
        <v>0</v>
      </c>
      <c r="K46" s="178">
        <f>VLOOKUP($A$11,'[1]6.2. отчет'!$D:$AGO,314,0)</f>
        <v>0</v>
      </c>
    </row>
    <row r="47" spans="1:14" ht="31.5" x14ac:dyDescent="0.25">
      <c r="A47" s="53" t="s">
        <v>62</v>
      </c>
      <c r="B47" s="54" t="s">
        <v>61</v>
      </c>
      <c r="C47" s="178">
        <f>VLOOKUP($A$11,'[1]6.2. отчет'!$D:$FX,172,0)</f>
        <v>126.229</v>
      </c>
      <c r="D47" s="224">
        <f>VLOOKUP($A$11,'[1]6.2. отчет'!$D:$OZ,409,0)</f>
        <v>107.18</v>
      </c>
      <c r="E47" s="178">
        <f t="shared" si="7"/>
        <v>126.229</v>
      </c>
      <c r="F47" s="178">
        <f t="shared" si="8"/>
        <v>19.048999999999992</v>
      </c>
      <c r="G47" s="178">
        <f>VLOOKUP($A$11,'[1]6.2. отчет'!$D:$GJ,184,0)</f>
        <v>107.18</v>
      </c>
      <c r="H47" s="178">
        <f>VLOOKUP($A$11,'[1]6.2. отчет'!$D:$AGO,195,0)</f>
        <v>126.229</v>
      </c>
      <c r="I47" s="178">
        <f>VLOOKUP($A$11,'[1]6.2. отчет'!$D:$AGO,250,0)</f>
        <v>0</v>
      </c>
      <c r="J47" s="178">
        <f>VLOOKUP($A$11,'[1]6.2. отчет'!$D:$AGO,261,0)</f>
        <v>0</v>
      </c>
      <c r="K47" s="178">
        <f>VLOOKUP($A$11,'[1]6.2. отчет'!$D:$AGO,316,0)</f>
        <v>0</v>
      </c>
    </row>
    <row r="48" spans="1:14" ht="31.5" x14ac:dyDescent="0.25">
      <c r="A48" s="53" t="s">
        <v>60</v>
      </c>
      <c r="B48" s="54" t="s">
        <v>59</v>
      </c>
      <c r="C48" s="178">
        <f>VLOOKUP($A$11,'[1]6.2. отчет'!$D:$FX,173,0)</f>
        <v>0</v>
      </c>
      <c r="D48" s="224">
        <v>0</v>
      </c>
      <c r="E48" s="178">
        <f t="shared" si="7"/>
        <v>0</v>
      </c>
      <c r="F48" s="178">
        <f t="shared" si="8"/>
        <v>0</v>
      </c>
      <c r="G48" s="178">
        <f>VLOOKUP($A$11,'[1]6.2. отчет'!$D:$GJ,185,0)</f>
        <v>0</v>
      </c>
      <c r="H48" s="178">
        <f>VLOOKUP($A$11,'[1]6.2. отчет'!$D:$AGO,196,0)</f>
        <v>0</v>
      </c>
      <c r="I48" s="178">
        <f>VLOOKUP($A$11,'[1]6.2. отчет'!$D:$AGO,251,0)</f>
        <v>0</v>
      </c>
      <c r="J48" s="178">
        <f>VLOOKUP($A$11,'[1]6.2. отчет'!$D:$AGO,262,0)</f>
        <v>0</v>
      </c>
      <c r="K48" s="178">
        <f>VLOOKUP($A$11,'[1]6.2. отчет'!$D:$AGO,317,0)</f>
        <v>0</v>
      </c>
    </row>
    <row r="49" spans="1:11" x14ac:dyDescent="0.25">
      <c r="A49" s="53" t="s">
        <v>58</v>
      </c>
      <c r="B49" s="54" t="s">
        <v>57</v>
      </c>
      <c r="C49" s="178">
        <f>VLOOKUP($A$11,'[1]6.2. отчет'!$D:$FX,174,0)</f>
        <v>0</v>
      </c>
      <c r="D49" s="224">
        <v>0</v>
      </c>
      <c r="E49" s="178">
        <f t="shared" si="7"/>
        <v>0</v>
      </c>
      <c r="F49" s="178">
        <f t="shared" si="8"/>
        <v>0</v>
      </c>
      <c r="G49" s="178">
        <f>VLOOKUP($A$11,'[1]6.2. отчет'!$D:$GJ,186,0)</f>
        <v>0</v>
      </c>
      <c r="H49" s="178">
        <f>VLOOKUP($A$11,'[1]6.2. отчет'!$D:$AGO,197,0)</f>
        <v>0</v>
      </c>
      <c r="I49" s="178">
        <f>VLOOKUP($A$11,'[1]6.2. отчет'!$D:$AGO,252,0)</f>
        <v>0</v>
      </c>
      <c r="J49" s="178">
        <f>VLOOKUP($A$11,'[1]6.2. отчет'!$D:$AGO,263,0)</f>
        <v>0</v>
      </c>
      <c r="K49" s="178">
        <f>VLOOKUP($A$11,'[1]6.2. отчет'!$D:$AGO,318,0)</f>
        <v>0</v>
      </c>
    </row>
    <row r="50" spans="1:11" x14ac:dyDescent="0.25">
      <c r="A50" s="53" t="s">
        <v>56</v>
      </c>
      <c r="B50" s="54" t="s">
        <v>450</v>
      </c>
      <c r="C50" s="178">
        <f>VLOOKUP($A$11,'[1]6.2. отчет'!$D:$FX,177,0)</f>
        <v>0</v>
      </c>
      <c r="D50" s="224">
        <f>VLOOKUP($A$11,'[1]6.2. отчет'!$D:$OZ,412,0)</f>
        <v>0</v>
      </c>
      <c r="E50" s="178">
        <f t="shared" si="7"/>
        <v>0</v>
      </c>
      <c r="F50" s="178">
        <f t="shared" si="8"/>
        <v>0</v>
      </c>
      <c r="G50" s="178">
        <f>VLOOKUP($A$11,'[1]6.2. отчет'!$D:$GJ,189,0)</f>
        <v>0</v>
      </c>
      <c r="H50" s="178">
        <f>VLOOKUP($A$11,'[1]6.2. отчет'!$D:$AGO,200,0)</f>
        <v>0</v>
      </c>
      <c r="I50" s="178">
        <f>VLOOKUP($A$11,'[1]6.2. отчет'!$D:$AGO,255,0)</f>
        <v>0</v>
      </c>
      <c r="J50" s="178">
        <f>VLOOKUP($A$11,'[1]6.2. отчет'!$D:$AGO,266,0)</f>
        <v>0</v>
      </c>
      <c r="K50" s="178">
        <f>VLOOKUP($A$11,'[1]6.2. отчет'!$D:$AGO,321,0)</f>
        <v>0</v>
      </c>
    </row>
    <row r="51" spans="1:11" s="52" customFormat="1" ht="35.25" customHeight="1" x14ac:dyDescent="0.25">
      <c r="A51" s="50" t="s">
        <v>13</v>
      </c>
      <c r="B51" s="51" t="s">
        <v>55</v>
      </c>
      <c r="C51" s="178"/>
      <c r="D51" s="224"/>
      <c r="E51" s="178"/>
      <c r="F51" s="178"/>
      <c r="G51" s="178"/>
      <c r="H51" s="178"/>
      <c r="I51" s="55"/>
      <c r="J51" s="178"/>
      <c r="K51" s="55"/>
    </row>
    <row r="52" spans="1:11" x14ac:dyDescent="0.25">
      <c r="A52" s="53" t="s">
        <v>54</v>
      </c>
      <c r="B52" s="54" t="s">
        <v>53</v>
      </c>
      <c r="C52" s="178">
        <f>VLOOKUP($A$11,'[1]6.2. отчет'!$D:$FX,167,0)</f>
        <v>171.98192827012397</v>
      </c>
      <c r="D52" s="224">
        <f>VLOOKUP($A$11,'[1]6.2. отчет'!$D:$OZ,413,0)</f>
        <v>119.65261706</v>
      </c>
      <c r="E52" s="178">
        <f t="shared" ref="E52:E57" si="9">F52+G52</f>
        <v>171.98192827012397</v>
      </c>
      <c r="F52" s="178">
        <f t="shared" ref="F52:F57" si="10">C52-G52</f>
        <v>52.329311210123976</v>
      </c>
      <c r="G52" s="178">
        <f>VLOOKUP($A$11,'[1]6.2. отчет'!$D:$GJ,179,0)</f>
        <v>119.65261706</v>
      </c>
      <c r="H52" s="178">
        <f>VLOOKUP($A$11,'[1]6.2. отчет'!$D:$AGO,190,0)</f>
        <v>171.981928270124</v>
      </c>
      <c r="I52" s="178">
        <f>VLOOKUP($A$11,'[1]6.2. отчет'!$D:$AGO,245,0)</f>
        <v>0</v>
      </c>
      <c r="J52" s="178">
        <f>VLOOKUP($A$11,'[1]6.2. отчет'!$D:$AGO,256,0)</f>
        <v>0</v>
      </c>
      <c r="K52" s="178">
        <f>VLOOKUP($A$11,'[1]6.2. отчет'!$D:$AGO,311,0)</f>
        <v>0</v>
      </c>
    </row>
    <row r="53" spans="1:11" x14ac:dyDescent="0.25">
      <c r="A53" s="53" t="s">
        <v>52</v>
      </c>
      <c r="B53" s="54" t="s">
        <v>46</v>
      </c>
      <c r="C53" s="178">
        <f>VLOOKUP($A$11,'[1]6.2. отчет'!$D:$FX,168,0)</f>
        <v>0</v>
      </c>
      <c r="D53" s="224">
        <v>0</v>
      </c>
      <c r="E53" s="178">
        <f t="shared" si="9"/>
        <v>0</v>
      </c>
      <c r="F53" s="178">
        <f t="shared" si="10"/>
        <v>0</v>
      </c>
      <c r="G53" s="178">
        <f>VLOOKUP($A$11,'[1]6.2. отчет'!$D:$GJ,180,0)</f>
        <v>0</v>
      </c>
      <c r="H53" s="178">
        <f>VLOOKUP($A$11,'[1]6.2. отчет'!$D:$AGO,191,0)</f>
        <v>0</v>
      </c>
      <c r="I53" s="178">
        <f>VLOOKUP($A$11,'[1]6.2. отчет'!$D:$AGO,246,0)</f>
        <v>0</v>
      </c>
      <c r="J53" s="178">
        <f>VLOOKUP($A$11,'[1]6.2. отчет'!$D:$AGO,257,0)</f>
        <v>0</v>
      </c>
      <c r="K53" s="178">
        <f>VLOOKUP($A$11,'[1]6.2. отчет'!$D:$AGO,312,0)</f>
        <v>0</v>
      </c>
    </row>
    <row r="54" spans="1:11" x14ac:dyDescent="0.25">
      <c r="A54" s="53" t="s">
        <v>51</v>
      </c>
      <c r="B54" s="67" t="s">
        <v>45</v>
      </c>
      <c r="C54" s="178">
        <f>VLOOKUP($A$11,'[1]6.2. отчет'!$D:$FX,169,0)</f>
        <v>8.86</v>
      </c>
      <c r="D54" s="224">
        <f>VLOOKUP($A$11,'[1]6.2. отчет'!$D:$OZ,410,0)</f>
        <v>5.16</v>
      </c>
      <c r="E54" s="178">
        <f t="shared" si="9"/>
        <v>8.86</v>
      </c>
      <c r="F54" s="178">
        <f t="shared" si="10"/>
        <v>3.6999999999999993</v>
      </c>
      <c r="G54" s="178">
        <f>VLOOKUP($A$11,'[1]6.2. отчет'!$D:$GJ,181,0)</f>
        <v>5.16</v>
      </c>
      <c r="H54" s="178">
        <f>VLOOKUP($A$11,'[1]6.2. отчет'!$D:$AGO,192,0)</f>
        <v>8.86</v>
      </c>
      <c r="I54" s="178">
        <f>VLOOKUP($A$11,'[1]6.2. отчет'!$D:$AGO,247,0)</f>
        <v>0</v>
      </c>
      <c r="J54" s="178">
        <f>VLOOKUP($A$11,'[1]6.2. отчет'!$D:$AGO,258,0)</f>
        <v>0</v>
      </c>
      <c r="K54" s="178">
        <f>VLOOKUP($A$11,'[1]6.2. отчет'!$D:$AGO,313,0)</f>
        <v>0</v>
      </c>
    </row>
    <row r="55" spans="1:11" x14ac:dyDescent="0.25">
      <c r="A55" s="53" t="s">
        <v>50</v>
      </c>
      <c r="B55" s="67" t="s">
        <v>44</v>
      </c>
      <c r="C55" s="178">
        <f>VLOOKUP($A$11,'[1]6.2. отчет'!$D:$FX,170,0)</f>
        <v>0</v>
      </c>
      <c r="D55" s="224">
        <f>VLOOKUP($A$11,'[1]6.2. отчет'!$D:$OZ,411,0)</f>
        <v>0</v>
      </c>
      <c r="E55" s="178">
        <f t="shared" si="9"/>
        <v>0</v>
      </c>
      <c r="F55" s="178">
        <f t="shared" si="10"/>
        <v>0</v>
      </c>
      <c r="G55" s="178">
        <f>VLOOKUP($A$11,'[1]6.2. отчет'!$D:$GJ,182,0)</f>
        <v>0</v>
      </c>
      <c r="H55" s="178">
        <f>VLOOKUP($A$11,'[1]6.2. отчет'!$D:$AGO,193,0)</f>
        <v>0</v>
      </c>
      <c r="I55" s="178">
        <f>VLOOKUP($A$11,'[1]6.2. отчет'!$D:$AGO,248,0)</f>
        <v>0</v>
      </c>
      <c r="J55" s="178">
        <f>VLOOKUP($A$11,'[1]6.2. отчет'!$D:$AGO,259,0)</f>
        <v>0</v>
      </c>
      <c r="K55" s="178">
        <f>VLOOKUP($A$11,'[1]6.2. отчет'!$D:$AGO,314,0)</f>
        <v>0</v>
      </c>
    </row>
    <row r="56" spans="1:11" x14ac:dyDescent="0.25">
      <c r="A56" s="53" t="s">
        <v>49</v>
      </c>
      <c r="B56" s="67" t="s">
        <v>43</v>
      </c>
      <c r="C56" s="178">
        <f>VLOOKUP($A$11,'[1]6.2. отчет'!$D:$FX,171,0)</f>
        <v>126.229</v>
      </c>
      <c r="D56" s="224">
        <f>VLOOKUP($A$11,'[1]6.2. отчет'!$D:$OZ,409,0)</f>
        <v>107.18</v>
      </c>
      <c r="E56" s="178">
        <f t="shared" si="9"/>
        <v>126.229</v>
      </c>
      <c r="F56" s="178">
        <f t="shared" si="10"/>
        <v>19.048999999999992</v>
      </c>
      <c r="G56" s="178">
        <f>VLOOKUP($A$11,'[1]6.2. отчет'!$D:$GJ,183,0)</f>
        <v>107.18</v>
      </c>
      <c r="H56" s="178">
        <f>VLOOKUP($A$11,'[1]6.2. отчет'!$D:$AGO,194,0)</f>
        <v>126.229</v>
      </c>
      <c r="I56" s="178">
        <f>VLOOKUP($A$11,'[1]6.2. отчет'!$D:$AGO,249,0)</f>
        <v>0</v>
      </c>
      <c r="J56" s="178">
        <f>VLOOKUP($A$11,'[1]6.2. отчет'!$D:$AGO,260,0)</f>
        <v>0</v>
      </c>
      <c r="K56" s="178">
        <f>VLOOKUP($A$11,'[1]6.2. отчет'!$D:$AGO,315,0)</f>
        <v>0</v>
      </c>
    </row>
    <row r="57" spans="1:11" x14ac:dyDescent="0.25">
      <c r="A57" s="53" t="s">
        <v>48</v>
      </c>
      <c r="B57" s="54" t="s">
        <v>450</v>
      </c>
      <c r="C57" s="178">
        <f>VLOOKUP($A$11,'[1]6.2. отчет'!$D:$FX,177,0)</f>
        <v>0</v>
      </c>
      <c r="D57" s="224">
        <f>VLOOKUP($A$11,'[1]6.2. отчет'!$D:$OZ,412,0)</f>
        <v>0</v>
      </c>
      <c r="E57" s="178">
        <f t="shared" si="9"/>
        <v>0</v>
      </c>
      <c r="F57" s="178">
        <f t="shared" si="10"/>
        <v>0</v>
      </c>
      <c r="G57" s="178">
        <f>VLOOKUP($A$11,'[1]6.2. отчет'!$D:$GJ,189,0)</f>
        <v>0</v>
      </c>
      <c r="H57" s="178">
        <f>VLOOKUP($A$11,'[1]6.2. отчет'!$D:$AGO,200,0)</f>
        <v>0</v>
      </c>
      <c r="I57" s="178">
        <f>VLOOKUP($A$11,'[1]6.2. отчет'!$D:$AGO,255,0)</f>
        <v>0</v>
      </c>
      <c r="J57" s="178">
        <f>VLOOKUP($A$11,'[1]6.2. отчет'!$D:$AGO,266,0)</f>
        <v>0</v>
      </c>
      <c r="K57" s="178">
        <f>VLOOKUP($A$11,'[1]6.2. отчет'!$D:$AGO,321,0)</f>
        <v>0</v>
      </c>
    </row>
    <row r="58" spans="1:11" s="52" customFormat="1" ht="31.5" x14ac:dyDescent="0.25">
      <c r="A58" s="50" t="s">
        <v>12</v>
      </c>
      <c r="B58" s="57" t="s">
        <v>141</v>
      </c>
      <c r="C58" s="178"/>
      <c r="D58" s="178"/>
      <c r="E58" s="178"/>
      <c r="F58" s="178"/>
      <c r="G58" s="178"/>
      <c r="H58" s="178"/>
      <c r="I58" s="55"/>
      <c r="J58" s="178"/>
      <c r="K58" s="55"/>
    </row>
    <row r="59" spans="1:11" x14ac:dyDescent="0.25">
      <c r="A59" s="50" t="s">
        <v>10</v>
      </c>
      <c r="B59" s="51" t="s">
        <v>47</v>
      </c>
      <c r="C59" s="178"/>
      <c r="D59" s="178"/>
      <c r="E59" s="178"/>
      <c r="F59" s="178"/>
      <c r="G59" s="178"/>
      <c r="H59" s="178"/>
      <c r="I59" s="55"/>
      <c r="J59" s="178"/>
      <c r="K59" s="55"/>
    </row>
    <row r="60" spans="1:11" x14ac:dyDescent="0.25">
      <c r="A60" s="53" t="s">
        <v>135</v>
      </c>
      <c r="B60" s="68" t="s">
        <v>67</v>
      </c>
      <c r="C60" s="178">
        <f>VLOOKUP($A$11,'[1]6.2. отчет'!$D:$AGO,326,0)</f>
        <v>0</v>
      </c>
      <c r="D60" s="178">
        <v>0</v>
      </c>
      <c r="E60" s="178">
        <f t="shared" ref="E60:E64" si="11">F60</f>
        <v>0</v>
      </c>
      <c r="F60" s="178">
        <f t="shared" ref="F60:F64" si="12">C60</f>
        <v>0</v>
      </c>
      <c r="G60" s="178">
        <f>VLOOKUP($A$11,'[1]6.2. отчет'!$D:$AGO,333,0)</f>
        <v>0</v>
      </c>
      <c r="H60" s="178">
        <f>VLOOKUP($A$11,'[1]6.2. отчет'!$D:$AGO,341,0)</f>
        <v>0</v>
      </c>
      <c r="I60" s="178">
        <f>VLOOKUP($A$11,'[1]6.2. отчет'!$D:$AGO,366,0)</f>
        <v>0</v>
      </c>
      <c r="J60" s="178">
        <f>VLOOKUP($A$11,'[1]6.2. отчет'!$D:$AGO,371,0)</f>
        <v>0</v>
      </c>
      <c r="K60" s="178">
        <f>VLOOKUP($A$11,'[1]6.2. отчет'!$D:$AGO,396,0)</f>
        <v>0</v>
      </c>
    </row>
    <row r="61" spans="1:11" x14ac:dyDescent="0.25">
      <c r="A61" s="53" t="s">
        <v>136</v>
      </c>
      <c r="B61" s="68" t="s">
        <v>65</v>
      </c>
      <c r="C61" s="178">
        <f>VLOOKUP($A$11,'[1]6.2. отчет'!$D:$AGO,327,0)</f>
        <v>0</v>
      </c>
      <c r="D61" s="178">
        <v>0</v>
      </c>
      <c r="E61" s="178">
        <f t="shared" si="11"/>
        <v>0</v>
      </c>
      <c r="F61" s="178">
        <f t="shared" si="12"/>
        <v>0</v>
      </c>
      <c r="G61" s="178">
        <f>VLOOKUP($A$11,'[1]6.2. отчет'!$D:$AGO,334,0)</f>
        <v>0</v>
      </c>
      <c r="H61" s="178">
        <f>VLOOKUP($A$11,'[1]6.2. отчет'!$D:$AGO,338,0)</f>
        <v>0</v>
      </c>
      <c r="I61" s="178">
        <f>VLOOKUP($A$11,'[1]6.2. отчет'!$D:$AGO,363,0)</f>
        <v>0</v>
      </c>
      <c r="J61" s="178">
        <f>VLOOKUP($A$11,'[1]6.2. отчет'!$D:$AGO,368,0)</f>
        <v>0</v>
      </c>
      <c r="K61" s="178">
        <f>VLOOKUP($A$11,'[1]6.2. отчет'!$D:$AGO,393,0)</f>
        <v>0</v>
      </c>
    </row>
    <row r="62" spans="1:11" x14ac:dyDescent="0.25">
      <c r="A62" s="53" t="s">
        <v>137</v>
      </c>
      <c r="B62" s="68" t="s">
        <v>63</v>
      </c>
      <c r="C62" s="178">
        <f>VLOOKUP($A$11,'[1]6.2. отчет'!$D:$AGO,328,0)</f>
        <v>0</v>
      </c>
      <c r="D62" s="178">
        <v>0</v>
      </c>
      <c r="E62" s="178">
        <f t="shared" si="11"/>
        <v>0</v>
      </c>
      <c r="F62" s="178">
        <f t="shared" si="12"/>
        <v>0</v>
      </c>
      <c r="G62" s="178">
        <f>VLOOKUP($A$11,'[1]6.2. отчет'!$D:$AGO,335,0)</f>
        <v>0</v>
      </c>
      <c r="H62" s="178">
        <f>VLOOKUP($A$11,'[1]6.2. отчет'!$D:$AGO,339,0)</f>
        <v>0</v>
      </c>
      <c r="I62" s="178">
        <f>VLOOKUP($A$11,'[1]6.2. отчет'!$D:$AGO,364,0)</f>
        <v>0</v>
      </c>
      <c r="J62" s="178">
        <f>VLOOKUP($A$11,'[1]6.2. отчет'!$D:$AGO,369,0)</f>
        <v>0</v>
      </c>
      <c r="K62" s="178">
        <f>VLOOKUP($A$11,'[1]6.2. отчет'!$D:$AGO,394,0)</f>
        <v>0</v>
      </c>
    </row>
    <row r="63" spans="1:11" x14ac:dyDescent="0.25">
      <c r="A63" s="53" t="s">
        <v>138</v>
      </c>
      <c r="B63" s="68" t="s">
        <v>140</v>
      </c>
      <c r="C63" s="178">
        <f>VLOOKUP($A$11,'[1]6.2. отчет'!$D:$AGO,329,0)</f>
        <v>0</v>
      </c>
      <c r="D63" s="178">
        <v>0</v>
      </c>
      <c r="E63" s="178">
        <f t="shared" si="11"/>
        <v>0</v>
      </c>
      <c r="F63" s="178">
        <f t="shared" si="12"/>
        <v>0</v>
      </c>
      <c r="G63" s="178">
        <f>VLOOKUP($A$11,'[1]6.2. отчет'!$D:$AGO,336,0)</f>
        <v>0</v>
      </c>
      <c r="H63" s="178">
        <f>VLOOKUP($A$11,'[1]6.2. отчет'!$D:$AGO,340,0)</f>
        <v>0</v>
      </c>
      <c r="I63" s="178">
        <f>VLOOKUP($A$11,'[1]6.2. отчет'!$D:$AGO,365,0)</f>
        <v>0</v>
      </c>
      <c r="J63" s="178">
        <f>VLOOKUP($A$11,'[1]6.2. отчет'!$D:$AGO,370,0)</f>
        <v>0</v>
      </c>
      <c r="K63" s="178">
        <f>VLOOKUP($A$11,'[1]6.2. отчет'!$D:$AGO,395,0)</f>
        <v>0</v>
      </c>
    </row>
    <row r="64" spans="1:11" ht="18.75" x14ac:dyDescent="0.25">
      <c r="A64" s="53" t="s">
        <v>139</v>
      </c>
      <c r="B64" s="67" t="s">
        <v>42</v>
      </c>
      <c r="C64" s="178">
        <f>VLOOKUP($A$11,'[1]6.2. отчет'!$D:$AGO,330,0)</f>
        <v>0</v>
      </c>
      <c r="D64" s="178">
        <v>0</v>
      </c>
      <c r="E64" s="178">
        <f t="shared" si="11"/>
        <v>0</v>
      </c>
      <c r="F64" s="178">
        <f t="shared" si="12"/>
        <v>0</v>
      </c>
      <c r="G64" s="178">
        <f>VLOOKUP($A$11,'[1]6.2. отчет'!$D:$AGO,337,0)</f>
        <v>0</v>
      </c>
      <c r="H64" s="178">
        <f>VLOOKUP($A$11,'[1]6.2. отчет'!$D:$AGO,342,0)</f>
        <v>0</v>
      </c>
      <c r="I64" s="178">
        <f>VLOOKUP($A$11,'[1]6.2. отчет'!$D:$AGO,367,0)</f>
        <v>0</v>
      </c>
      <c r="J64" s="178">
        <f>VLOOKUP($A$11,'[1]6.2. отчет'!$D:$AGO,372,0)</f>
        <v>0</v>
      </c>
      <c r="K64" s="178">
        <f>VLOOKUP($A$11,'[1]6.2. отчет'!$D:$AGO,396,0)</f>
        <v>0</v>
      </c>
    </row>
    <row r="66" spans="2:11" ht="50.25" customHeight="1" x14ac:dyDescent="0.25">
      <c r="B66" s="321"/>
      <c r="C66" s="321"/>
      <c r="D66" s="321"/>
      <c r="E66" s="321"/>
      <c r="F66" s="321"/>
      <c r="G66" s="321"/>
      <c r="H66" s="321"/>
      <c r="I66" s="321"/>
      <c r="J66" s="321"/>
      <c r="K66" s="321"/>
    </row>
    <row r="68" spans="2:11" ht="36.75" customHeight="1" x14ac:dyDescent="0.25">
      <c r="B68" s="322"/>
      <c r="C68" s="322"/>
      <c r="D68" s="322"/>
      <c r="E68" s="322"/>
      <c r="F68" s="322"/>
      <c r="G68" s="322"/>
      <c r="H68" s="322"/>
      <c r="I68" s="322"/>
      <c r="J68" s="322"/>
      <c r="K68" s="322"/>
    </row>
    <row r="69" spans="2:11" x14ac:dyDescent="0.25">
      <c r="B69" s="58"/>
      <c r="C69" s="58"/>
      <c r="D69" s="59"/>
      <c r="E69" s="59"/>
      <c r="F69" s="59"/>
    </row>
    <row r="70" spans="2:11" ht="51" customHeight="1" x14ac:dyDescent="0.25">
      <c r="B70" s="322"/>
      <c r="C70" s="322"/>
      <c r="D70" s="322"/>
      <c r="E70" s="322"/>
      <c r="F70" s="322"/>
      <c r="G70" s="322"/>
      <c r="H70" s="322"/>
      <c r="I70" s="322"/>
      <c r="J70" s="322"/>
      <c r="K70" s="322"/>
    </row>
    <row r="71" spans="2:11" ht="32.25" customHeight="1" x14ac:dyDescent="0.25">
      <c r="B71" s="321"/>
      <c r="C71" s="321"/>
      <c r="D71" s="321"/>
      <c r="E71" s="321"/>
      <c r="F71" s="321"/>
      <c r="G71" s="321"/>
      <c r="H71" s="321"/>
      <c r="I71" s="321"/>
      <c r="J71" s="321"/>
      <c r="K71" s="321"/>
    </row>
    <row r="72" spans="2:11" ht="51.75" customHeight="1" x14ac:dyDescent="0.25">
      <c r="B72" s="322"/>
      <c r="C72" s="322"/>
      <c r="D72" s="322"/>
      <c r="E72" s="322"/>
      <c r="F72" s="322"/>
      <c r="G72" s="322"/>
      <c r="H72" s="322"/>
      <c r="I72" s="322"/>
      <c r="J72" s="322"/>
      <c r="K72" s="322"/>
    </row>
    <row r="73" spans="2:11" ht="21.75" customHeight="1" x14ac:dyDescent="0.25">
      <c r="B73" s="323"/>
      <c r="C73" s="323"/>
      <c r="D73" s="323"/>
      <c r="E73" s="323"/>
      <c r="F73" s="323"/>
      <c r="G73" s="323"/>
      <c r="H73" s="323"/>
      <c r="I73" s="323"/>
      <c r="J73" s="323"/>
      <c r="K73" s="323"/>
    </row>
    <row r="74" spans="2:11" ht="23.25" customHeight="1" x14ac:dyDescent="0.25">
      <c r="B74" s="60"/>
      <c r="C74" s="60"/>
      <c r="D74" s="59"/>
      <c r="E74" s="59"/>
      <c r="F74" s="59"/>
    </row>
    <row r="75" spans="2:11" ht="18.75" customHeight="1" x14ac:dyDescent="0.25">
      <c r="B75" s="320"/>
      <c r="C75" s="320"/>
      <c r="D75" s="320"/>
      <c r="E75" s="320"/>
      <c r="F75" s="320"/>
      <c r="G75" s="320"/>
      <c r="H75" s="320"/>
      <c r="I75" s="320"/>
      <c r="J75" s="320"/>
      <c r="K75" s="320"/>
    </row>
  </sheetData>
  <mergeCells count="29">
    <mergeCell ref="A3:K3"/>
    <mergeCell ref="A4:K4"/>
    <mergeCell ref="A6:K6"/>
    <mergeCell ref="A8:K8"/>
    <mergeCell ref="A9:K9"/>
    <mergeCell ref="J21:K21"/>
    <mergeCell ref="H21:I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tabSelected="1" view="pageBreakPreview" topLeftCell="A10" zoomScale="70" zoomScaleSheetLayoutView="70" workbookViewId="0">
      <selection activeCell="D29" sqref="D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45"/>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s="78" customFormat="1" ht="18.75" x14ac:dyDescent="0.3">
      <c r="A6" s="13"/>
      <c r="B6" s="13"/>
      <c r="D6" s="285"/>
      <c r="E6" s="285"/>
      <c r="F6" s="285"/>
      <c r="G6" s="285"/>
      <c r="H6" s="285"/>
      <c r="I6" s="285"/>
      <c r="L6" s="14"/>
    </row>
    <row r="7" spans="1:48" s="78" customFormat="1" ht="15.75" x14ac:dyDescent="0.25">
      <c r="D7" s="12"/>
      <c r="E7" s="12"/>
      <c r="F7" s="12"/>
      <c r="G7" s="12"/>
      <c r="H7" s="12"/>
      <c r="I7" s="12"/>
      <c r="J7" s="12"/>
      <c r="T7" s="235" t="str">
        <f>'1. паспорт местоположение'!$A$5</f>
        <v>Год раскрытия информации: 2024 год</v>
      </c>
      <c r="U7" s="235"/>
      <c r="V7" s="235"/>
      <c r="W7" s="235"/>
      <c r="X7" s="235"/>
      <c r="Y7" s="235"/>
      <c r="Z7" s="235"/>
      <c r="AA7" s="235"/>
      <c r="AB7" s="235"/>
      <c r="AC7" s="235"/>
      <c r="AD7" s="235"/>
    </row>
    <row r="8" spans="1:48" s="78" customFormat="1" ht="18.75" x14ac:dyDescent="0.3">
      <c r="H8" s="14"/>
      <c r="T8" s="274"/>
      <c r="U8" s="274"/>
      <c r="V8" s="274"/>
      <c r="W8" s="274"/>
      <c r="X8" s="274"/>
      <c r="Y8" s="274"/>
      <c r="Z8" s="274"/>
      <c r="AA8" s="274"/>
      <c r="AB8" s="274"/>
      <c r="AC8" s="274"/>
      <c r="AD8" s="274"/>
    </row>
    <row r="9" spans="1:48" s="78" customFormat="1" ht="18.75" x14ac:dyDescent="0.2">
      <c r="D9" s="17"/>
      <c r="E9" s="17"/>
      <c r="F9" s="17"/>
      <c r="G9" s="17"/>
      <c r="H9" s="17"/>
      <c r="I9" s="17"/>
      <c r="J9" s="17"/>
      <c r="K9" s="17"/>
      <c r="L9" s="17"/>
      <c r="M9" s="17"/>
      <c r="N9" s="17"/>
      <c r="O9" s="17"/>
      <c r="P9" s="17"/>
      <c r="Q9" s="17"/>
      <c r="R9" s="17"/>
      <c r="S9" s="17"/>
      <c r="T9" s="239" t="s">
        <v>5</v>
      </c>
      <c r="U9" s="239"/>
      <c r="V9" s="239"/>
      <c r="W9" s="239"/>
      <c r="X9" s="239"/>
      <c r="Y9" s="239"/>
      <c r="Z9" s="239"/>
      <c r="AA9" s="239"/>
      <c r="AB9" s="239"/>
      <c r="AC9" s="239"/>
      <c r="AD9" s="239"/>
    </row>
    <row r="10" spans="1:48" s="78" customFormat="1" ht="18.75" x14ac:dyDescent="0.2">
      <c r="D10" s="83"/>
      <c r="E10" s="83"/>
      <c r="F10" s="83"/>
      <c r="G10" s="83"/>
      <c r="H10" s="83"/>
      <c r="I10" s="17"/>
      <c r="J10" s="17"/>
      <c r="K10" s="17"/>
      <c r="L10" s="17"/>
      <c r="M10" s="17"/>
      <c r="N10" s="17"/>
      <c r="O10" s="17"/>
      <c r="P10" s="17"/>
      <c r="Q10" s="17"/>
      <c r="R10" s="17"/>
      <c r="S10" s="17"/>
      <c r="T10" s="239"/>
      <c r="U10" s="239"/>
      <c r="V10" s="239"/>
      <c r="W10" s="239"/>
      <c r="X10" s="239"/>
      <c r="Y10" s="239"/>
      <c r="Z10" s="239"/>
      <c r="AA10" s="239"/>
      <c r="AB10" s="239"/>
      <c r="AC10" s="239"/>
      <c r="AD10" s="239"/>
    </row>
    <row r="11" spans="1:48" s="78" customFormat="1" ht="18.75" x14ac:dyDescent="0.2">
      <c r="D11" s="18"/>
      <c r="E11" s="18"/>
      <c r="F11" s="18"/>
      <c r="G11" s="18"/>
      <c r="H11" s="18"/>
      <c r="I11" s="17"/>
      <c r="J11" s="17"/>
      <c r="K11" s="17"/>
      <c r="L11" s="17"/>
      <c r="M11" s="17"/>
      <c r="N11" s="17"/>
      <c r="O11" s="17"/>
      <c r="P11" s="17"/>
      <c r="Q11" s="17"/>
      <c r="R11" s="17"/>
      <c r="S11" s="17"/>
      <c r="T11" s="240" t="s">
        <v>264</v>
      </c>
      <c r="U11" s="240"/>
      <c r="V11" s="240"/>
      <c r="W11" s="240"/>
      <c r="X11" s="240"/>
      <c r="Y11" s="240"/>
      <c r="Z11" s="240"/>
      <c r="AA11" s="240"/>
      <c r="AB11" s="240"/>
      <c r="AC11" s="240"/>
      <c r="AD11" s="240"/>
    </row>
    <row r="12" spans="1:48" s="78" customFormat="1" ht="18.75" x14ac:dyDescent="0.2">
      <c r="D12" s="15"/>
      <c r="E12" s="15"/>
      <c r="F12" s="15"/>
      <c r="G12" s="15"/>
      <c r="H12" s="15"/>
      <c r="I12" s="17"/>
      <c r="J12" s="17"/>
      <c r="K12" s="17"/>
      <c r="L12" s="17"/>
      <c r="M12" s="17"/>
      <c r="N12" s="17"/>
      <c r="O12" s="17"/>
      <c r="P12" s="17"/>
      <c r="Q12" s="17"/>
      <c r="R12" s="17"/>
      <c r="S12" s="17"/>
      <c r="T12" s="245" t="s">
        <v>4</v>
      </c>
      <c r="U12" s="245"/>
      <c r="V12" s="245"/>
      <c r="W12" s="245"/>
      <c r="X12" s="245"/>
      <c r="Y12" s="245"/>
      <c r="Z12" s="245"/>
      <c r="AA12" s="245"/>
      <c r="AB12" s="245"/>
      <c r="AC12" s="245"/>
      <c r="AD12" s="245"/>
    </row>
    <row r="13" spans="1:48" s="78" customFormat="1" ht="18.75" x14ac:dyDescent="0.2">
      <c r="D13" s="83"/>
      <c r="E13" s="83"/>
      <c r="F13" s="83"/>
      <c r="G13" s="83"/>
      <c r="H13" s="83"/>
      <c r="I13" s="17"/>
      <c r="J13" s="17"/>
      <c r="K13" s="17"/>
      <c r="L13" s="17"/>
      <c r="M13" s="17"/>
      <c r="N13" s="17"/>
      <c r="O13" s="17"/>
      <c r="P13" s="17"/>
      <c r="Q13" s="17"/>
      <c r="R13" s="17"/>
      <c r="S13" s="17"/>
      <c r="T13" s="239"/>
      <c r="U13" s="239"/>
      <c r="V13" s="239"/>
      <c r="W13" s="239"/>
      <c r="X13" s="239"/>
      <c r="Y13" s="239"/>
      <c r="Z13" s="239"/>
      <c r="AA13" s="239"/>
      <c r="AB13" s="239"/>
      <c r="AC13" s="239"/>
      <c r="AD13" s="239"/>
    </row>
    <row r="14" spans="1:48" s="78" customFormat="1" ht="18.75" x14ac:dyDescent="0.2">
      <c r="D14" s="18"/>
      <c r="E14" s="18"/>
      <c r="F14" s="18"/>
      <c r="G14" s="18"/>
      <c r="H14" s="18"/>
      <c r="I14" s="17"/>
      <c r="J14" s="17"/>
      <c r="K14" s="17"/>
      <c r="L14" s="17"/>
      <c r="M14" s="17"/>
      <c r="N14" s="17"/>
      <c r="O14" s="17"/>
      <c r="P14" s="17"/>
      <c r="Q14" s="17"/>
      <c r="R14" s="17"/>
      <c r="S14" s="17"/>
      <c r="T14" s="240" t="str">
        <f>'1. паспорт местоположение'!$A$12</f>
        <v>L_Che378</v>
      </c>
      <c r="U14" s="240"/>
      <c r="V14" s="240"/>
      <c r="W14" s="240"/>
      <c r="X14" s="240"/>
      <c r="Y14" s="240"/>
      <c r="Z14" s="240"/>
      <c r="AA14" s="240"/>
      <c r="AB14" s="240"/>
      <c r="AC14" s="240"/>
      <c r="AD14" s="240"/>
    </row>
    <row r="15" spans="1:48" s="78" customFormat="1" ht="18.75" x14ac:dyDescent="0.2">
      <c r="D15" s="15"/>
      <c r="E15" s="15"/>
      <c r="F15" s="15"/>
      <c r="G15" s="15"/>
      <c r="H15" s="15"/>
      <c r="I15" s="17"/>
      <c r="J15" s="17"/>
      <c r="K15" s="17"/>
      <c r="L15" s="17"/>
      <c r="M15" s="17"/>
      <c r="N15" s="17"/>
      <c r="O15" s="17"/>
      <c r="P15" s="17"/>
      <c r="Q15" s="17"/>
      <c r="R15" s="17"/>
      <c r="S15" s="17"/>
      <c r="T15" s="245" t="s">
        <v>3</v>
      </c>
      <c r="U15" s="245"/>
      <c r="V15" s="245"/>
      <c r="W15" s="245"/>
      <c r="X15" s="245"/>
      <c r="Y15" s="245"/>
      <c r="Z15" s="245"/>
      <c r="AA15" s="245"/>
      <c r="AB15" s="245"/>
      <c r="AC15" s="245"/>
      <c r="AD15" s="245"/>
    </row>
    <row r="16" spans="1:48" s="81" customFormat="1" ht="15.75" customHeight="1" x14ac:dyDescent="0.2">
      <c r="D16" s="1"/>
      <c r="E16" s="1"/>
      <c r="F16" s="1"/>
      <c r="G16" s="1"/>
      <c r="H16" s="1"/>
      <c r="I16" s="1"/>
      <c r="J16" s="1"/>
      <c r="K16" s="1"/>
      <c r="L16" s="1"/>
      <c r="M16" s="1"/>
      <c r="N16" s="1"/>
      <c r="O16" s="1"/>
      <c r="P16" s="1"/>
      <c r="Q16" s="1"/>
      <c r="R16" s="1"/>
      <c r="S16" s="1"/>
      <c r="T16" s="273"/>
      <c r="U16" s="273"/>
      <c r="V16" s="273"/>
      <c r="W16" s="273"/>
      <c r="X16" s="273"/>
      <c r="Y16" s="273"/>
      <c r="Z16" s="273"/>
      <c r="AA16" s="273"/>
      <c r="AB16" s="273"/>
      <c r="AC16" s="273"/>
      <c r="AD16" s="273"/>
    </row>
    <row r="17" spans="1:48" s="25" customFormat="1" ht="78.75" customHeight="1" x14ac:dyDescent="0.2">
      <c r="D17" s="18"/>
      <c r="E17" s="18"/>
      <c r="F17" s="18"/>
      <c r="G17" s="18"/>
      <c r="H17" s="18"/>
      <c r="I17" s="18"/>
      <c r="J17" s="18"/>
      <c r="K17" s="18"/>
      <c r="L17" s="18"/>
      <c r="M17" s="18"/>
      <c r="N17" s="18"/>
      <c r="O17"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P17" s="246"/>
      <c r="Q17" s="246"/>
      <c r="R17" s="246"/>
      <c r="S17" s="246"/>
      <c r="T17" s="246"/>
      <c r="U17" s="246"/>
      <c r="V17" s="246"/>
      <c r="W17" s="246"/>
      <c r="X17" s="246"/>
      <c r="Y17" s="246"/>
      <c r="Z17" s="246"/>
      <c r="AA17" s="246"/>
      <c r="AB17" s="246"/>
      <c r="AC17" s="246"/>
      <c r="AD17" s="246"/>
      <c r="AE17" s="246"/>
      <c r="AF17" s="246"/>
      <c r="AG17" s="246"/>
      <c r="AH17" s="246"/>
      <c r="AI17" s="246"/>
      <c r="AJ17" s="246"/>
      <c r="AK17" s="246"/>
    </row>
    <row r="18" spans="1:48" s="25" customFormat="1" ht="15" customHeight="1" x14ac:dyDescent="0.2">
      <c r="D18" s="15"/>
      <c r="E18" s="15"/>
      <c r="F18" s="15"/>
      <c r="G18" s="15"/>
      <c r="H18" s="15"/>
      <c r="I18" s="15"/>
      <c r="J18" s="15"/>
      <c r="K18" s="15"/>
      <c r="L18" s="15"/>
      <c r="M18" s="15"/>
      <c r="N18" s="15"/>
      <c r="O18" s="15"/>
      <c r="P18" s="15"/>
      <c r="Q18" s="15"/>
      <c r="R18" s="15"/>
      <c r="S18" s="15"/>
      <c r="T18" s="245" t="s">
        <v>2</v>
      </c>
      <c r="U18" s="245"/>
      <c r="V18" s="245"/>
      <c r="W18" s="245"/>
      <c r="X18" s="245"/>
      <c r="Y18" s="245"/>
      <c r="Z18" s="245"/>
      <c r="AA18" s="245"/>
      <c r="AB18" s="245"/>
      <c r="AC18" s="245"/>
      <c r="AD18" s="245"/>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x14ac:dyDescent="0.25">
      <c r="A20" s="344" t="s">
        <v>390</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ht="69.75" customHeight="1" x14ac:dyDescent="0.25">
      <c r="A21" s="333" t="s">
        <v>391</v>
      </c>
      <c r="B21" s="327" t="s">
        <v>454</v>
      </c>
      <c r="C21" s="333" t="s">
        <v>392</v>
      </c>
      <c r="D21" s="333" t="s">
        <v>393</v>
      </c>
      <c r="E21" s="330" t="s">
        <v>394</v>
      </c>
      <c r="F21" s="331"/>
      <c r="G21" s="331"/>
      <c r="H21" s="331"/>
      <c r="I21" s="331"/>
      <c r="J21" s="331"/>
      <c r="K21" s="331"/>
      <c r="L21" s="332"/>
      <c r="M21" s="333" t="s">
        <v>395</v>
      </c>
      <c r="N21" s="333" t="s">
        <v>396</v>
      </c>
      <c r="O21" s="333" t="s">
        <v>397</v>
      </c>
      <c r="P21" s="337" t="s">
        <v>398</v>
      </c>
      <c r="Q21" s="337" t="s">
        <v>399</v>
      </c>
      <c r="R21" s="337" t="s">
        <v>400</v>
      </c>
      <c r="S21" s="337" t="s">
        <v>401</v>
      </c>
      <c r="T21" s="337"/>
      <c r="U21" s="338" t="s">
        <v>402</v>
      </c>
      <c r="V21" s="338" t="s">
        <v>403</v>
      </c>
      <c r="W21" s="337" t="s">
        <v>404</v>
      </c>
      <c r="X21" s="337" t="s">
        <v>405</v>
      </c>
      <c r="Y21" s="337" t="s">
        <v>406</v>
      </c>
      <c r="Z21" s="336" t="s">
        <v>407</v>
      </c>
      <c r="AA21" s="337" t="s">
        <v>408</v>
      </c>
      <c r="AB21" s="337" t="s">
        <v>409</v>
      </c>
      <c r="AC21" s="337" t="s">
        <v>410</v>
      </c>
      <c r="AD21" s="337" t="s">
        <v>411</v>
      </c>
      <c r="AE21" s="337" t="s">
        <v>412</v>
      </c>
      <c r="AF21" s="337" t="s">
        <v>413</v>
      </c>
      <c r="AG21" s="337"/>
      <c r="AH21" s="337"/>
      <c r="AI21" s="337"/>
      <c r="AJ21" s="337"/>
      <c r="AK21" s="337"/>
      <c r="AL21" s="337" t="s">
        <v>414</v>
      </c>
      <c r="AM21" s="337"/>
      <c r="AN21" s="337"/>
      <c r="AO21" s="337"/>
      <c r="AP21" s="337" t="s">
        <v>415</v>
      </c>
      <c r="AQ21" s="337"/>
      <c r="AR21" s="337" t="s">
        <v>416</v>
      </c>
      <c r="AS21" s="337" t="s">
        <v>417</v>
      </c>
      <c r="AT21" s="337" t="s">
        <v>418</v>
      </c>
      <c r="AU21" s="337" t="s">
        <v>419</v>
      </c>
      <c r="AV21" s="347" t="s">
        <v>420</v>
      </c>
    </row>
    <row r="22" spans="1:48" ht="83.25" customHeight="1" x14ac:dyDescent="0.25">
      <c r="A22" s="334"/>
      <c r="B22" s="328"/>
      <c r="C22" s="334"/>
      <c r="D22" s="334"/>
      <c r="E22" s="339" t="s">
        <v>421</v>
      </c>
      <c r="F22" s="341" t="s">
        <v>46</v>
      </c>
      <c r="G22" s="341" t="s">
        <v>45</v>
      </c>
      <c r="H22" s="341" t="s">
        <v>44</v>
      </c>
      <c r="I22" s="325" t="s">
        <v>422</v>
      </c>
      <c r="J22" s="325" t="s">
        <v>423</v>
      </c>
      <c r="K22" s="325" t="s">
        <v>424</v>
      </c>
      <c r="L22" s="341" t="s">
        <v>383</v>
      </c>
      <c r="M22" s="334"/>
      <c r="N22" s="334"/>
      <c r="O22" s="334"/>
      <c r="P22" s="337"/>
      <c r="Q22" s="337"/>
      <c r="R22" s="337"/>
      <c r="S22" s="345" t="s">
        <v>0</v>
      </c>
      <c r="T22" s="345" t="s">
        <v>425</v>
      </c>
      <c r="U22" s="338"/>
      <c r="V22" s="338"/>
      <c r="W22" s="337"/>
      <c r="X22" s="337"/>
      <c r="Y22" s="337"/>
      <c r="Z22" s="337"/>
      <c r="AA22" s="337"/>
      <c r="AB22" s="337"/>
      <c r="AC22" s="337"/>
      <c r="AD22" s="337"/>
      <c r="AE22" s="337"/>
      <c r="AF22" s="337" t="s">
        <v>426</v>
      </c>
      <c r="AG22" s="337"/>
      <c r="AH22" s="337" t="s">
        <v>427</v>
      </c>
      <c r="AI22" s="337"/>
      <c r="AJ22" s="333" t="s">
        <v>428</v>
      </c>
      <c r="AK22" s="333" t="s">
        <v>429</v>
      </c>
      <c r="AL22" s="333" t="s">
        <v>430</v>
      </c>
      <c r="AM22" s="333" t="s">
        <v>431</v>
      </c>
      <c r="AN22" s="333" t="s">
        <v>432</v>
      </c>
      <c r="AO22" s="333" t="s">
        <v>433</v>
      </c>
      <c r="AP22" s="333" t="s">
        <v>434</v>
      </c>
      <c r="AQ22" s="349" t="s">
        <v>425</v>
      </c>
      <c r="AR22" s="337"/>
      <c r="AS22" s="337"/>
      <c r="AT22" s="337"/>
      <c r="AU22" s="337"/>
      <c r="AV22" s="348"/>
    </row>
    <row r="23" spans="1:48" ht="96.75" customHeight="1" x14ac:dyDescent="0.25">
      <c r="A23" s="335"/>
      <c r="B23" s="329"/>
      <c r="C23" s="335"/>
      <c r="D23" s="335"/>
      <c r="E23" s="340"/>
      <c r="F23" s="342"/>
      <c r="G23" s="342"/>
      <c r="H23" s="342"/>
      <c r="I23" s="326"/>
      <c r="J23" s="326"/>
      <c r="K23" s="326"/>
      <c r="L23" s="342"/>
      <c r="M23" s="335"/>
      <c r="N23" s="335"/>
      <c r="O23" s="335"/>
      <c r="P23" s="337"/>
      <c r="Q23" s="337"/>
      <c r="R23" s="337"/>
      <c r="S23" s="346"/>
      <c r="T23" s="346"/>
      <c r="U23" s="338"/>
      <c r="V23" s="338"/>
      <c r="W23" s="337"/>
      <c r="X23" s="337"/>
      <c r="Y23" s="337"/>
      <c r="Z23" s="337"/>
      <c r="AA23" s="337"/>
      <c r="AB23" s="337"/>
      <c r="AC23" s="337"/>
      <c r="AD23" s="337"/>
      <c r="AE23" s="337"/>
      <c r="AF23" s="86" t="s">
        <v>435</v>
      </c>
      <c r="AG23" s="86" t="s">
        <v>436</v>
      </c>
      <c r="AH23" s="63" t="s">
        <v>0</v>
      </c>
      <c r="AI23" s="63" t="s">
        <v>425</v>
      </c>
      <c r="AJ23" s="335"/>
      <c r="AK23" s="335"/>
      <c r="AL23" s="335"/>
      <c r="AM23" s="335"/>
      <c r="AN23" s="335"/>
      <c r="AO23" s="335"/>
      <c r="AP23" s="335"/>
      <c r="AQ23" s="350"/>
      <c r="AR23" s="337"/>
      <c r="AS23" s="337"/>
      <c r="AT23" s="337"/>
      <c r="AU23" s="337"/>
      <c r="AV23" s="348"/>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199" customFormat="1" ht="76.5" x14ac:dyDescent="0.2">
      <c r="A25" s="188">
        <v>1</v>
      </c>
      <c r="B25" s="351" t="s">
        <v>264</v>
      </c>
      <c r="C25" s="354" t="s">
        <v>509</v>
      </c>
      <c r="D25" s="357">
        <v>45231</v>
      </c>
      <c r="E25" s="360">
        <v>0</v>
      </c>
      <c r="F25" s="360">
        <v>0</v>
      </c>
      <c r="G25" s="360">
        <v>8.86</v>
      </c>
      <c r="H25" s="360">
        <v>0</v>
      </c>
      <c r="I25" s="360">
        <v>126.23</v>
      </c>
      <c r="J25" s="360">
        <v>0</v>
      </c>
      <c r="K25" s="360">
        <v>0</v>
      </c>
      <c r="L25" s="360">
        <v>0</v>
      </c>
      <c r="M25" s="188" t="s">
        <v>461</v>
      </c>
      <c r="N25" s="183" t="s">
        <v>461</v>
      </c>
      <c r="O25" s="366" t="s">
        <v>472</v>
      </c>
      <c r="P25" s="189">
        <v>118117.09</v>
      </c>
      <c r="Q25" s="183" t="s">
        <v>465</v>
      </c>
      <c r="R25" s="189">
        <v>118117.09</v>
      </c>
      <c r="S25" s="188" t="s">
        <v>466</v>
      </c>
      <c r="T25" s="188" t="s">
        <v>466</v>
      </c>
      <c r="U25" s="188">
        <v>2</v>
      </c>
      <c r="V25" s="188">
        <v>2</v>
      </c>
      <c r="W25" s="183" t="s">
        <v>467</v>
      </c>
      <c r="X25" s="185" t="s">
        <v>481</v>
      </c>
      <c r="Y25" s="183" t="s">
        <v>468</v>
      </c>
      <c r="Z25" s="188">
        <v>1</v>
      </c>
      <c r="AA25" s="183" t="s">
        <v>510</v>
      </c>
      <c r="AB25" s="189">
        <v>119949.58474999999</v>
      </c>
      <c r="AC25" s="183" t="s">
        <v>469</v>
      </c>
      <c r="AD25" s="189">
        <v>143939.50169999999</v>
      </c>
      <c r="AE25" s="211"/>
      <c r="AF25" s="183" t="s">
        <v>511</v>
      </c>
      <c r="AG25" s="188" t="s">
        <v>470</v>
      </c>
      <c r="AH25" s="190">
        <v>43159</v>
      </c>
      <c r="AI25" s="190">
        <v>43159</v>
      </c>
      <c r="AJ25" s="190">
        <v>43241</v>
      </c>
      <c r="AK25" s="190">
        <v>43319</v>
      </c>
      <c r="AL25" s="363" t="s">
        <v>478</v>
      </c>
      <c r="AM25" s="364"/>
      <c r="AN25" s="364"/>
      <c r="AO25" s="365"/>
      <c r="AP25" s="197">
        <v>43329</v>
      </c>
      <c r="AQ25" s="197">
        <v>43329</v>
      </c>
      <c r="AR25" s="197">
        <v>43329</v>
      </c>
      <c r="AS25" s="197">
        <v>43329</v>
      </c>
      <c r="AT25" s="197">
        <v>43586</v>
      </c>
      <c r="AU25" s="188"/>
      <c r="AV25" s="198" t="s">
        <v>512</v>
      </c>
    </row>
    <row r="26" spans="1:48" s="207" customFormat="1" ht="75.75" customHeight="1" x14ac:dyDescent="0.25">
      <c r="A26" s="200">
        <v>2</v>
      </c>
      <c r="B26" s="352"/>
      <c r="C26" s="355"/>
      <c r="D26" s="358"/>
      <c r="E26" s="361"/>
      <c r="F26" s="361"/>
      <c r="G26" s="361"/>
      <c r="H26" s="361"/>
      <c r="I26" s="361"/>
      <c r="J26" s="361"/>
      <c r="K26" s="361"/>
      <c r="L26" s="361"/>
      <c r="M26" s="200" t="s">
        <v>471</v>
      </c>
      <c r="N26" s="200" t="s">
        <v>513</v>
      </c>
      <c r="O26" s="367"/>
      <c r="P26" s="201">
        <v>915754.06599999999</v>
      </c>
      <c r="Q26" s="202" t="s">
        <v>456</v>
      </c>
      <c r="R26" s="201">
        <v>915754.06599999999</v>
      </c>
      <c r="S26" s="200" t="s">
        <v>457</v>
      </c>
      <c r="T26" s="200" t="s">
        <v>457</v>
      </c>
      <c r="U26" s="200">
        <v>2</v>
      </c>
      <c r="V26" s="200">
        <v>2</v>
      </c>
      <c r="W26" s="200" t="s">
        <v>473</v>
      </c>
      <c r="X26" s="201" t="s">
        <v>482</v>
      </c>
      <c r="Y26" s="202" t="s">
        <v>474</v>
      </c>
      <c r="Z26" s="203" t="s">
        <v>475</v>
      </c>
      <c r="AA26" s="203" t="s">
        <v>475</v>
      </c>
      <c r="AB26" s="201">
        <v>913922.56000000006</v>
      </c>
      <c r="AC26" s="200" t="s">
        <v>476</v>
      </c>
      <c r="AD26" s="201">
        <v>1096707.07</v>
      </c>
      <c r="AE26" s="211">
        <v>6067.2635</v>
      </c>
      <c r="AF26" s="200" t="s">
        <v>514</v>
      </c>
      <c r="AG26" s="204" t="s">
        <v>477</v>
      </c>
      <c r="AH26" s="205">
        <v>43966</v>
      </c>
      <c r="AI26" s="205">
        <v>43966</v>
      </c>
      <c r="AJ26" s="205">
        <v>44076</v>
      </c>
      <c r="AK26" s="205">
        <v>44091</v>
      </c>
      <c r="AL26" s="363" t="s">
        <v>478</v>
      </c>
      <c r="AM26" s="364"/>
      <c r="AN26" s="364"/>
      <c r="AO26" s="365"/>
      <c r="AP26" s="205">
        <v>44110</v>
      </c>
      <c r="AQ26" s="205">
        <v>44110</v>
      </c>
      <c r="AR26" s="205">
        <v>44110</v>
      </c>
      <c r="AS26" s="205">
        <v>44110</v>
      </c>
      <c r="AT26" s="205">
        <v>44681</v>
      </c>
      <c r="AU26" s="183"/>
      <c r="AV26" s="206" t="s">
        <v>520</v>
      </c>
    </row>
    <row r="27" spans="1:48" s="191" customFormat="1" ht="60" x14ac:dyDescent="0.25">
      <c r="A27" s="208">
        <v>3</v>
      </c>
      <c r="B27" s="352"/>
      <c r="C27" s="355"/>
      <c r="D27" s="358"/>
      <c r="E27" s="361"/>
      <c r="F27" s="361"/>
      <c r="G27" s="361"/>
      <c r="H27" s="361"/>
      <c r="I27" s="361"/>
      <c r="J27" s="361"/>
      <c r="K27" s="361"/>
      <c r="L27" s="361"/>
      <c r="M27" s="209" t="s">
        <v>503</v>
      </c>
      <c r="N27" s="209" t="s">
        <v>503</v>
      </c>
      <c r="O27" s="367"/>
      <c r="P27" s="212">
        <v>43737.150016666666</v>
      </c>
      <c r="Q27" s="213" t="s">
        <v>456</v>
      </c>
      <c r="R27" s="214">
        <v>43737.150016666666</v>
      </c>
      <c r="S27" s="215" t="s">
        <v>294</v>
      </c>
      <c r="T27" s="215" t="s">
        <v>294</v>
      </c>
      <c r="U27" s="215">
        <v>1</v>
      </c>
      <c r="V27" s="215">
        <v>1</v>
      </c>
      <c r="W27" s="215" t="s">
        <v>521</v>
      </c>
      <c r="X27" s="214">
        <v>43737.150016666666</v>
      </c>
      <c r="Y27" s="215" t="s">
        <v>521</v>
      </c>
      <c r="Z27" s="215" t="s">
        <v>452</v>
      </c>
      <c r="AA27" s="215" t="s">
        <v>452</v>
      </c>
      <c r="AB27" s="214">
        <v>43737.150016666666</v>
      </c>
      <c r="AC27" s="215" t="s">
        <v>521</v>
      </c>
      <c r="AD27" s="214">
        <v>52484.580020000001</v>
      </c>
      <c r="AE27" s="216"/>
      <c r="AF27" s="369" t="s">
        <v>522</v>
      </c>
      <c r="AG27" s="370"/>
      <c r="AH27" s="370"/>
      <c r="AI27" s="370"/>
      <c r="AJ27" s="370"/>
      <c r="AK27" s="371"/>
      <c r="AL27" s="188" t="s">
        <v>294</v>
      </c>
      <c r="AM27" s="188" t="s">
        <v>294</v>
      </c>
      <c r="AN27" s="188" t="s">
        <v>294</v>
      </c>
      <c r="AO27" s="188" t="s">
        <v>294</v>
      </c>
      <c r="AP27" s="217">
        <v>44207</v>
      </c>
      <c r="AQ27" s="217">
        <v>44207</v>
      </c>
      <c r="AR27" s="217">
        <v>44207</v>
      </c>
      <c r="AS27" s="217">
        <v>44207</v>
      </c>
      <c r="AT27" s="217">
        <v>44681</v>
      </c>
      <c r="AU27" s="218"/>
      <c r="AV27" s="219" t="s">
        <v>523</v>
      </c>
    </row>
    <row r="28" spans="1:48" s="191" customFormat="1" ht="39.6" customHeight="1" x14ac:dyDescent="0.25">
      <c r="A28" s="208">
        <v>4</v>
      </c>
      <c r="B28" s="353"/>
      <c r="C28" s="356"/>
      <c r="D28" s="359"/>
      <c r="E28" s="362"/>
      <c r="F28" s="362"/>
      <c r="G28" s="362"/>
      <c r="H28" s="362"/>
      <c r="I28" s="362"/>
      <c r="J28" s="362"/>
      <c r="K28" s="362"/>
      <c r="L28" s="362"/>
      <c r="M28" s="210" t="s">
        <v>504</v>
      </c>
      <c r="N28" s="210" t="s">
        <v>504</v>
      </c>
      <c r="O28" s="368"/>
      <c r="P28" s="212">
        <v>5687.1166833333336</v>
      </c>
      <c r="Q28" s="215" t="s">
        <v>524</v>
      </c>
      <c r="R28" s="214">
        <v>5687.1166833333336</v>
      </c>
      <c r="S28" s="215" t="s">
        <v>525</v>
      </c>
      <c r="T28" s="215" t="s">
        <v>525</v>
      </c>
      <c r="U28" s="215">
        <v>1</v>
      </c>
      <c r="V28" s="215">
        <v>1</v>
      </c>
      <c r="W28" s="215" t="s">
        <v>526</v>
      </c>
      <c r="X28" s="214">
        <v>5687.1166833333336</v>
      </c>
      <c r="Y28" s="215" t="s">
        <v>526</v>
      </c>
      <c r="Z28" s="215" t="s">
        <v>452</v>
      </c>
      <c r="AA28" s="215" t="s">
        <v>452</v>
      </c>
      <c r="AB28" s="214">
        <v>6824.5400199999958</v>
      </c>
      <c r="AC28" s="215" t="s">
        <v>527</v>
      </c>
      <c r="AD28" s="214">
        <v>6824.5700200000001</v>
      </c>
      <c r="AE28" s="216"/>
      <c r="AF28" s="369" t="s">
        <v>522</v>
      </c>
      <c r="AG28" s="370"/>
      <c r="AH28" s="370"/>
      <c r="AI28" s="370"/>
      <c r="AJ28" s="370"/>
      <c r="AK28" s="371"/>
      <c r="AL28" s="220" t="s">
        <v>528</v>
      </c>
      <c r="AM28" s="188" t="s">
        <v>529</v>
      </c>
      <c r="AN28" s="221">
        <v>44181</v>
      </c>
      <c r="AO28" s="215" t="s">
        <v>530</v>
      </c>
      <c r="AP28" s="217">
        <v>44186</v>
      </c>
      <c r="AQ28" s="217">
        <v>44186</v>
      </c>
      <c r="AR28" s="217">
        <v>44186</v>
      </c>
      <c r="AS28" s="217">
        <v>44186</v>
      </c>
      <c r="AT28" s="217">
        <v>44681</v>
      </c>
      <c r="AU28" s="218"/>
      <c r="AV28" s="219" t="s">
        <v>531</v>
      </c>
    </row>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V21:AV23"/>
    <mergeCell ref="AP21:AQ21"/>
    <mergeCell ref="Y21:Y23"/>
    <mergeCell ref="AF21:AK21"/>
    <mergeCell ref="AF22:AG22"/>
    <mergeCell ref="AT21:AT23"/>
    <mergeCell ref="AU21:AU23"/>
    <mergeCell ref="AL21:AO21"/>
    <mergeCell ref="AR21:AR23"/>
    <mergeCell ref="AQ22:AQ23"/>
    <mergeCell ref="AA21:AA23"/>
    <mergeCell ref="AB21:AB23"/>
    <mergeCell ref="AH22:AI22"/>
    <mergeCell ref="V21:V23"/>
    <mergeCell ref="W21:W23"/>
    <mergeCell ref="A19:AV19"/>
    <mergeCell ref="A20:AV20"/>
    <mergeCell ref="AD21:AD23"/>
    <mergeCell ref="AE21:AE23"/>
    <mergeCell ref="S21:T21"/>
    <mergeCell ref="K22:K23"/>
    <mergeCell ref="Q21:Q23"/>
    <mergeCell ref="T22:T23"/>
    <mergeCell ref="L22:L23"/>
    <mergeCell ref="S22:S23"/>
    <mergeCell ref="AP22:AP23"/>
    <mergeCell ref="AL22:AL23"/>
    <mergeCell ref="AM22:AM23"/>
    <mergeCell ref="AO22:AO23"/>
    <mergeCell ref="C21:C23"/>
    <mergeCell ref="D21:D23"/>
    <mergeCell ref="A21:A23"/>
    <mergeCell ref="AS21:AS23"/>
    <mergeCell ref="AC21:AC23"/>
    <mergeCell ref="U21:U23"/>
    <mergeCell ref="P21:P23"/>
    <mergeCell ref="AN22:AN23"/>
    <mergeCell ref="R21:R23"/>
    <mergeCell ref="AJ22:AJ23"/>
    <mergeCell ref="AK22:AK23"/>
    <mergeCell ref="E22:E23"/>
    <mergeCell ref="F22:F23"/>
    <mergeCell ref="G22:G23"/>
    <mergeCell ref="H22:H23"/>
    <mergeCell ref="I22:I23"/>
    <mergeCell ref="J22:J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X21:X23"/>
    <mergeCell ref="T11:AD11"/>
    <mergeCell ref="T14:AD14"/>
    <mergeCell ref="T15:AD15"/>
    <mergeCell ref="T16:AD16"/>
    <mergeCell ref="T18:AD18"/>
    <mergeCell ref="O17:AK17"/>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7" zoomScale="80" zoomScaleNormal="90" zoomScaleSheetLayoutView="80" workbookViewId="0">
      <selection activeCell="B17" sqref="B1:E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4" t="str">
        <f>'1. паспорт местоположение'!$A$5</f>
        <v>Год раскрытия информации: 2024 год</v>
      </c>
      <c r="B5" s="374"/>
      <c r="C5" s="3"/>
      <c r="D5" s="3"/>
      <c r="E5" s="3"/>
      <c r="F5" s="3"/>
      <c r="G5" s="3"/>
      <c r="H5" s="3"/>
    </row>
    <row r="6" spans="1:8" ht="18.75" x14ac:dyDescent="0.3">
      <c r="A6" s="10"/>
      <c r="B6" s="10"/>
      <c r="C6" s="10"/>
      <c r="D6" s="10"/>
      <c r="E6" s="10"/>
      <c r="F6" s="10"/>
      <c r="G6" s="10"/>
      <c r="H6" s="10"/>
    </row>
    <row r="7" spans="1:8" ht="18.75" x14ac:dyDescent="0.25">
      <c r="A7" s="239" t="s">
        <v>5</v>
      </c>
      <c r="B7" s="239"/>
      <c r="C7" s="17"/>
      <c r="D7" s="17"/>
      <c r="E7" s="17"/>
      <c r="F7" s="17"/>
      <c r="G7" s="17"/>
      <c r="H7" s="17"/>
    </row>
    <row r="8" spans="1:8" ht="18.75" x14ac:dyDescent="0.25">
      <c r="A8" s="17"/>
      <c r="B8" s="17"/>
      <c r="C8" s="17"/>
      <c r="D8" s="17"/>
      <c r="E8" s="17"/>
      <c r="F8" s="17"/>
      <c r="G8" s="17"/>
      <c r="H8" s="17"/>
    </row>
    <row r="9" spans="1:8" x14ac:dyDescent="0.25">
      <c r="A9" s="240" t="s">
        <v>264</v>
      </c>
      <c r="B9" s="240"/>
      <c r="C9" s="18"/>
      <c r="D9" s="18"/>
      <c r="E9" s="18"/>
      <c r="F9" s="18"/>
      <c r="G9" s="18"/>
      <c r="H9" s="18"/>
    </row>
    <row r="10" spans="1:8" x14ac:dyDescent="0.25">
      <c r="A10" s="245" t="s">
        <v>4</v>
      </c>
      <c r="B10" s="245"/>
      <c r="C10" s="15"/>
      <c r="D10" s="15"/>
      <c r="E10" s="15"/>
      <c r="F10" s="15"/>
      <c r="G10" s="15"/>
      <c r="H10" s="15"/>
    </row>
    <row r="11" spans="1:8" ht="18.75" x14ac:dyDescent="0.25">
      <c r="A11" s="17"/>
      <c r="B11" s="17"/>
      <c r="C11" s="17"/>
      <c r="D11" s="17"/>
      <c r="E11" s="17"/>
      <c r="F11" s="17"/>
      <c r="G11" s="17"/>
      <c r="H11" s="17"/>
    </row>
    <row r="12" spans="1:8" ht="30.75" customHeight="1" x14ac:dyDescent="0.25">
      <c r="A12" s="240" t="str">
        <f>'1. паспорт местоположение'!$A$12</f>
        <v>L_Che378</v>
      </c>
      <c r="B12" s="240"/>
      <c r="C12" s="18"/>
      <c r="D12" s="18"/>
      <c r="E12" s="18"/>
      <c r="F12" s="18"/>
      <c r="G12" s="18"/>
      <c r="H12" s="18"/>
    </row>
    <row r="13" spans="1:8" x14ac:dyDescent="0.25">
      <c r="A13" s="245" t="s">
        <v>3</v>
      </c>
      <c r="B13" s="245"/>
      <c r="C13" s="15"/>
      <c r="D13" s="15"/>
      <c r="E13" s="15"/>
      <c r="F13" s="15"/>
      <c r="G13" s="15"/>
      <c r="H13" s="15"/>
    </row>
    <row r="14" spans="1:8" ht="18.75" x14ac:dyDescent="0.25">
      <c r="A14" s="2"/>
      <c r="B14" s="2"/>
      <c r="C14" s="2"/>
      <c r="D14" s="2"/>
      <c r="E14" s="2"/>
      <c r="F14" s="2"/>
      <c r="G14" s="2"/>
      <c r="H14" s="2"/>
    </row>
    <row r="15" spans="1:8" ht="35.25" customHeight="1" x14ac:dyDescent="0.25">
      <c r="A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5" s="246"/>
      <c r="C15" s="18"/>
      <c r="D15" s="18"/>
      <c r="E15" s="18"/>
      <c r="F15" s="18"/>
      <c r="G15" s="18"/>
      <c r="H15" s="18"/>
    </row>
    <row r="16" spans="1:8" x14ac:dyDescent="0.25">
      <c r="A16" s="245" t="s">
        <v>2</v>
      </c>
      <c r="B16" s="245"/>
      <c r="C16" s="15"/>
      <c r="D16" s="15"/>
      <c r="E16" s="15"/>
      <c r="F16" s="15"/>
      <c r="G16" s="15"/>
      <c r="H16" s="15"/>
    </row>
    <row r="17" spans="1:2" x14ac:dyDescent="0.25">
      <c r="B17" s="88"/>
    </row>
    <row r="18" spans="1:2" ht="33.75" customHeight="1" x14ac:dyDescent="0.25">
      <c r="A18" s="372" t="s">
        <v>256</v>
      </c>
      <c r="B18" s="373"/>
    </row>
    <row r="19" spans="1:2" x14ac:dyDescent="0.25">
      <c r="B19" s="87"/>
    </row>
    <row r="20" spans="1:2" x14ac:dyDescent="0.25">
      <c r="B20" s="89"/>
    </row>
    <row r="21" spans="1:2" ht="75" x14ac:dyDescent="0.25">
      <c r="A21" s="165" t="s">
        <v>148</v>
      </c>
      <c r="B21" s="90"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row>
    <row r="22" spans="1:2" x14ac:dyDescent="0.25">
      <c r="A22" s="166" t="s">
        <v>149</v>
      </c>
      <c r="B22" s="90" t="str">
        <f>'1. паспорт местоположение'!C27</f>
        <v>Шалинский район</v>
      </c>
    </row>
    <row r="23" spans="1:2" x14ac:dyDescent="0.25">
      <c r="A23" s="166" t="s">
        <v>145</v>
      </c>
      <c r="B23" s="90" t="str">
        <f>'1. паспорт местоположение'!C22</f>
        <v>Прочее новое строительство объектов электросетевого хозяйства</v>
      </c>
    </row>
    <row r="24" spans="1:2" x14ac:dyDescent="0.25">
      <c r="A24" s="166" t="s">
        <v>150</v>
      </c>
      <c r="B24" s="91" t="s">
        <v>500</v>
      </c>
    </row>
    <row r="25" spans="1:2" x14ac:dyDescent="0.25">
      <c r="A25" s="167" t="s">
        <v>151</v>
      </c>
      <c r="B25" s="193">
        <f>VLOOKUP($A$12,'[1]6.2. отчет'!$D:$OM,400,0)</f>
        <v>2024</v>
      </c>
    </row>
    <row r="26" spans="1:2" x14ac:dyDescent="0.25">
      <c r="A26" s="167" t="s">
        <v>152</v>
      </c>
      <c r="B26" s="194" t="str">
        <f>'3.3 паспорт описание'!C30</f>
        <v>с</v>
      </c>
    </row>
    <row r="27" spans="1:2" ht="28.5" x14ac:dyDescent="0.25">
      <c r="A27" s="168" t="s">
        <v>449</v>
      </c>
      <c r="B27" s="194">
        <f>VLOOKUP($A$12,'[1]6.2. отчет'!$D:$OT,407,0)</f>
        <v>204.46566281732402</v>
      </c>
    </row>
    <row r="28" spans="1:2" x14ac:dyDescent="0.25">
      <c r="A28" s="169" t="s">
        <v>153</v>
      </c>
      <c r="B28" s="169" t="s">
        <v>459</v>
      </c>
    </row>
    <row r="29" spans="1:2" ht="28.5" x14ac:dyDescent="0.25">
      <c r="A29" s="168" t="s">
        <v>154</v>
      </c>
      <c r="B29" s="186">
        <f>B30</f>
        <v>137.24346514999999</v>
      </c>
    </row>
    <row r="30" spans="1:2" ht="28.5" x14ac:dyDescent="0.25">
      <c r="A30" s="168" t="s">
        <v>155</v>
      </c>
      <c r="B30" s="187">
        <f>B36+B46+B51+B56</f>
        <v>137.24346514999999</v>
      </c>
    </row>
    <row r="31" spans="1:2" x14ac:dyDescent="0.25">
      <c r="A31" s="169" t="s">
        <v>156</v>
      </c>
      <c r="B31" s="169"/>
    </row>
    <row r="32" spans="1:2" ht="45.75" customHeight="1" x14ac:dyDescent="0.25">
      <c r="A32" s="168" t="s">
        <v>157</v>
      </c>
      <c r="B32" s="182" t="s">
        <v>532</v>
      </c>
    </row>
    <row r="33" spans="1:4" x14ac:dyDescent="0.25">
      <c r="A33" s="169" t="s">
        <v>479</v>
      </c>
      <c r="B33" s="222">
        <f>'7. Паспорт отчет о закупке'!AD26/1000</f>
        <v>1096.7070700000002</v>
      </c>
    </row>
    <row r="34" spans="1:4" x14ac:dyDescent="0.25">
      <c r="A34" s="169" t="s">
        <v>159</v>
      </c>
      <c r="B34" s="184">
        <f>B36/(B27-B57)</f>
        <v>0.60920952962372266</v>
      </c>
    </row>
    <row r="35" spans="1:4" x14ac:dyDescent="0.25">
      <c r="A35" s="169" t="s">
        <v>160</v>
      </c>
      <c r="B35" s="180">
        <v>121.34526981</v>
      </c>
      <c r="D35" s="174"/>
    </row>
    <row r="36" spans="1:4" x14ac:dyDescent="0.25">
      <c r="A36" s="169" t="s">
        <v>161</v>
      </c>
      <c r="B36" s="180">
        <v>121.34526981</v>
      </c>
    </row>
    <row r="37" spans="1:4" ht="28.5" x14ac:dyDescent="0.25">
      <c r="A37" s="168" t="s">
        <v>162</v>
      </c>
      <c r="B37" s="169" t="s">
        <v>294</v>
      </c>
    </row>
    <row r="38" spans="1:4" x14ac:dyDescent="0.25">
      <c r="A38" s="169" t="s">
        <v>158</v>
      </c>
      <c r="B38" s="169" t="s">
        <v>294</v>
      </c>
    </row>
    <row r="39" spans="1:4" x14ac:dyDescent="0.25">
      <c r="A39" s="169" t="s">
        <v>159</v>
      </c>
      <c r="B39" s="169" t="s">
        <v>294</v>
      </c>
    </row>
    <row r="40" spans="1:4" x14ac:dyDescent="0.25">
      <c r="A40" s="169" t="s">
        <v>160</v>
      </c>
      <c r="B40" s="169" t="s">
        <v>294</v>
      </c>
    </row>
    <row r="41" spans="1:4" x14ac:dyDescent="0.25">
      <c r="A41" s="169" t="s">
        <v>161</v>
      </c>
      <c r="B41" s="169" t="s">
        <v>294</v>
      </c>
    </row>
    <row r="42" spans="1:4" ht="42.75" x14ac:dyDescent="0.25">
      <c r="A42" s="168" t="s">
        <v>163</v>
      </c>
      <c r="B42" s="182" t="s">
        <v>484</v>
      </c>
    </row>
    <row r="43" spans="1:4" x14ac:dyDescent="0.25">
      <c r="A43" s="169" t="s">
        <v>460</v>
      </c>
      <c r="B43" s="92">
        <f>'7. Паспорт отчет о закупке'!AD27/1000</f>
        <v>52.484580020000003</v>
      </c>
    </row>
    <row r="44" spans="1:4" x14ac:dyDescent="0.25">
      <c r="A44" s="169" t="s">
        <v>159</v>
      </c>
      <c r="B44" s="172">
        <f>B46/(B27-B57)</f>
        <v>6.5517052078237742E-2</v>
      </c>
    </row>
    <row r="45" spans="1:4" x14ac:dyDescent="0.25">
      <c r="A45" s="169" t="s">
        <v>160</v>
      </c>
      <c r="B45" s="92">
        <v>13.05</v>
      </c>
    </row>
    <row r="46" spans="1:4" x14ac:dyDescent="0.25">
      <c r="A46" s="169" t="s">
        <v>161</v>
      </c>
      <c r="B46" s="180">
        <v>13.05</v>
      </c>
    </row>
    <row r="47" spans="1:4" ht="28.5" x14ac:dyDescent="0.25">
      <c r="A47" s="182" t="s">
        <v>163</v>
      </c>
      <c r="B47" s="186" t="s">
        <v>533</v>
      </c>
    </row>
    <row r="48" spans="1:4" x14ac:dyDescent="0.25">
      <c r="A48" s="169" t="s">
        <v>505</v>
      </c>
      <c r="B48" s="180">
        <v>6.8245700200000003</v>
      </c>
    </row>
    <row r="49" spans="1:4" x14ac:dyDescent="0.25">
      <c r="A49" s="169" t="s">
        <v>159</v>
      </c>
      <c r="B49" s="195">
        <f>B51/(B27-B57)</f>
        <v>1.3230985420272841E-3</v>
      </c>
    </row>
    <row r="50" spans="1:4" x14ac:dyDescent="0.25">
      <c r="A50" s="169" t="s">
        <v>160</v>
      </c>
      <c r="B50" s="180">
        <v>0.26354109999999997</v>
      </c>
      <c r="D50" s="174"/>
    </row>
    <row r="51" spans="1:4" x14ac:dyDescent="0.25">
      <c r="A51" s="169" t="s">
        <v>161</v>
      </c>
      <c r="B51" s="180">
        <v>0.26354109999999997</v>
      </c>
    </row>
    <row r="52" spans="1:4" ht="28.5" x14ac:dyDescent="0.25">
      <c r="A52" s="182" t="s">
        <v>163</v>
      </c>
      <c r="B52" s="186" t="s">
        <v>534</v>
      </c>
    </row>
    <row r="53" spans="1:4" x14ac:dyDescent="0.25">
      <c r="A53" s="169" t="s">
        <v>486</v>
      </c>
      <c r="B53" s="180">
        <v>52.484580020000003</v>
      </c>
    </row>
    <row r="54" spans="1:4" x14ac:dyDescent="0.25">
      <c r="A54" s="169" t="s">
        <v>159</v>
      </c>
      <c r="B54" s="192">
        <f>B56/(B27-B57)</f>
        <v>1.2976162946078007E-2</v>
      </c>
    </row>
    <row r="55" spans="1:4" x14ac:dyDescent="0.25">
      <c r="A55" s="169" t="s">
        <v>160</v>
      </c>
      <c r="B55" s="180">
        <v>2.5846542399999999</v>
      </c>
      <c r="D55" s="174"/>
    </row>
    <row r="56" spans="1:4" x14ac:dyDescent="0.25">
      <c r="A56" s="169" t="s">
        <v>161</v>
      </c>
      <c r="B56" s="180">
        <v>2.5846542399999999</v>
      </c>
    </row>
    <row r="57" spans="1:4" x14ac:dyDescent="0.25">
      <c r="A57" s="182" t="s">
        <v>506</v>
      </c>
      <c r="B57" s="180">
        <f>B58+B59+B60</f>
        <v>5.2808767799999998</v>
      </c>
    </row>
    <row r="58" spans="1:4" x14ac:dyDescent="0.25">
      <c r="A58" s="182" t="s">
        <v>507</v>
      </c>
      <c r="B58" s="180">
        <f>1.10744043+0.81338297+3.36005338</f>
        <v>5.2808767799999998</v>
      </c>
    </row>
    <row r="59" spans="1:4" x14ac:dyDescent="0.25">
      <c r="A59" s="182" t="s">
        <v>508</v>
      </c>
      <c r="B59" s="180">
        <v>0</v>
      </c>
    </row>
    <row r="60" spans="1:4" x14ac:dyDescent="0.25">
      <c r="A60" s="182" t="s">
        <v>79</v>
      </c>
      <c r="B60" s="180">
        <v>0</v>
      </c>
    </row>
    <row r="61" spans="1:4" ht="28.5" x14ac:dyDescent="0.25">
      <c r="A61" s="167" t="s">
        <v>164</v>
      </c>
      <c r="B61" s="93">
        <f>B65+B63</f>
        <v>0.68902584319006566</v>
      </c>
    </row>
    <row r="62" spans="1:4" x14ac:dyDescent="0.25">
      <c r="A62" s="94" t="s">
        <v>156</v>
      </c>
      <c r="B62" s="169" t="s">
        <v>294</v>
      </c>
    </row>
    <row r="63" spans="1:4" x14ac:dyDescent="0.25">
      <c r="A63" s="94" t="s">
        <v>165</v>
      </c>
      <c r="B63" s="223">
        <f>B54+B34</f>
        <v>0.62218569256980061</v>
      </c>
    </row>
    <row r="64" spans="1:4" x14ac:dyDescent="0.25">
      <c r="A64" s="94" t="s">
        <v>166</v>
      </c>
      <c r="B64" s="169" t="s">
        <v>294</v>
      </c>
    </row>
    <row r="65" spans="1:4" x14ac:dyDescent="0.25">
      <c r="A65" s="94" t="s">
        <v>167</v>
      </c>
      <c r="B65" s="93">
        <f>B44+B49</f>
        <v>6.6840150620265021E-2</v>
      </c>
    </row>
    <row r="66" spans="1:4" x14ac:dyDescent="0.25">
      <c r="A66" s="167" t="s">
        <v>168</v>
      </c>
      <c r="B66" s="93">
        <f>B67/$B$27</f>
        <v>0.6970704184659996</v>
      </c>
    </row>
    <row r="67" spans="1:4" x14ac:dyDescent="0.25">
      <c r="A67" s="167" t="s">
        <v>169</v>
      </c>
      <c r="B67" s="92">
        <f>'6.2. Паспорт фин осв ввод'!D24</f>
        <v>142.52696514200002</v>
      </c>
      <c r="C67" s="174">
        <f>B45+B35+B55+B57+B50</f>
        <v>142.52434192999999</v>
      </c>
      <c r="D67" s="174">
        <f>B67-C67</f>
        <v>2.6232120000315717E-3</v>
      </c>
    </row>
    <row r="68" spans="1:4" x14ac:dyDescent="0.25">
      <c r="A68" s="167" t="s">
        <v>170</v>
      </c>
      <c r="B68" s="93">
        <f>$B69/'6.2. Паспорт фин осв ввод'!$E$30</f>
        <v>1.6132840320840136</v>
      </c>
      <c r="D68" s="173"/>
    </row>
    <row r="69" spans="1:4" x14ac:dyDescent="0.25">
      <c r="A69" s="167" t="s">
        <v>171</v>
      </c>
      <c r="B69" s="92">
        <f>'6.2. Паспорт фин осв ввод'!D30</f>
        <v>119.65261705999998</v>
      </c>
      <c r="C69" s="5">
        <f>(B36+B46+B56+B51)/1.2+B57</f>
        <v>119.65043107166666</v>
      </c>
      <c r="D69" s="174">
        <f>B69-C69</f>
        <v>2.1859883333235075E-3</v>
      </c>
    </row>
    <row r="70" spans="1:4" ht="15.75" customHeight="1" x14ac:dyDescent="0.25">
      <c r="A70" s="167" t="s">
        <v>172</v>
      </c>
      <c r="B70" s="94"/>
      <c r="D70" s="173"/>
    </row>
    <row r="71" spans="1:4" x14ac:dyDescent="0.25">
      <c r="A71" s="94" t="s">
        <v>173</v>
      </c>
      <c r="B71" s="181" t="s">
        <v>264</v>
      </c>
    </row>
    <row r="72" spans="1:4" x14ac:dyDescent="0.25">
      <c r="A72" s="94" t="s">
        <v>174</v>
      </c>
      <c r="B72" s="182" t="s">
        <v>458</v>
      </c>
    </row>
    <row r="73" spans="1:4" x14ac:dyDescent="0.25">
      <c r="A73" s="94" t="s">
        <v>175</v>
      </c>
      <c r="B73" s="182" t="s">
        <v>535</v>
      </c>
    </row>
    <row r="74" spans="1:4" x14ac:dyDescent="0.25">
      <c r="A74" s="94" t="s">
        <v>176</v>
      </c>
      <c r="B74" s="182" t="s">
        <v>480</v>
      </c>
    </row>
    <row r="75" spans="1:4" x14ac:dyDescent="0.25">
      <c r="A75" s="94" t="s">
        <v>177</v>
      </c>
      <c r="B75" s="182" t="s">
        <v>294</v>
      </c>
    </row>
    <row r="76" spans="1:4" ht="30" x14ac:dyDescent="0.25">
      <c r="A76" s="94" t="s">
        <v>178</v>
      </c>
      <c r="B76" s="169" t="s">
        <v>294</v>
      </c>
    </row>
    <row r="77" spans="1:4" ht="28.5" x14ac:dyDescent="0.25">
      <c r="A77" s="167" t="s">
        <v>179</v>
      </c>
      <c r="B77" s="169" t="s">
        <v>294</v>
      </c>
    </row>
    <row r="78" spans="1:4" x14ac:dyDescent="0.25">
      <c r="A78" s="94" t="s">
        <v>156</v>
      </c>
      <c r="B78" s="169" t="s">
        <v>294</v>
      </c>
    </row>
    <row r="79" spans="1:4" x14ac:dyDescent="0.25">
      <c r="A79" s="94" t="s">
        <v>180</v>
      </c>
      <c r="B79" s="169" t="s">
        <v>294</v>
      </c>
    </row>
    <row r="80" spans="1:4" x14ac:dyDescent="0.25">
      <c r="A80" s="94" t="s">
        <v>181</v>
      </c>
      <c r="B80" s="169" t="s">
        <v>294</v>
      </c>
    </row>
    <row r="81" spans="1:2" x14ac:dyDescent="0.25">
      <c r="A81" s="170" t="s">
        <v>182</v>
      </c>
      <c r="B81" s="169" t="s">
        <v>294</v>
      </c>
    </row>
    <row r="82" spans="1:2" x14ac:dyDescent="0.25">
      <c r="A82" s="167" t="s">
        <v>183</v>
      </c>
      <c r="B82" s="169" t="s">
        <v>294</v>
      </c>
    </row>
    <row r="83" spans="1:2" x14ac:dyDescent="0.25">
      <c r="A83" s="94" t="s">
        <v>184</v>
      </c>
      <c r="B83" s="169" t="s">
        <v>294</v>
      </c>
    </row>
    <row r="84" spans="1:2" x14ac:dyDescent="0.25">
      <c r="A84" s="94" t="s">
        <v>185</v>
      </c>
      <c r="B84" s="169" t="s">
        <v>294</v>
      </c>
    </row>
    <row r="85" spans="1:2" x14ac:dyDescent="0.25">
      <c r="A85" s="94" t="s">
        <v>186</v>
      </c>
      <c r="B85" s="169" t="s">
        <v>294</v>
      </c>
    </row>
    <row r="86" spans="1:2" ht="28.5" x14ac:dyDescent="0.25">
      <c r="A86" s="170" t="s">
        <v>187</v>
      </c>
      <c r="B86" s="94" t="str">
        <f>$B$26</f>
        <v>с</v>
      </c>
    </row>
    <row r="87" spans="1:2" ht="28.5" x14ac:dyDescent="0.25">
      <c r="A87" s="167" t="s">
        <v>188</v>
      </c>
      <c r="B87" s="169" t="s">
        <v>294</v>
      </c>
    </row>
    <row r="88" spans="1:2" x14ac:dyDescent="0.25">
      <c r="A88" s="94" t="s">
        <v>189</v>
      </c>
      <c r="B88" s="169" t="s">
        <v>294</v>
      </c>
    </row>
    <row r="89" spans="1:2" x14ac:dyDescent="0.25">
      <c r="A89" s="94" t="s">
        <v>190</v>
      </c>
      <c r="B89" s="169" t="s">
        <v>294</v>
      </c>
    </row>
    <row r="90" spans="1:2" x14ac:dyDescent="0.25">
      <c r="A90" s="94" t="s">
        <v>191</v>
      </c>
      <c r="B90" s="169" t="s">
        <v>294</v>
      </c>
    </row>
    <row r="91" spans="1:2" x14ac:dyDescent="0.25">
      <c r="A91" s="94" t="s">
        <v>192</v>
      </c>
      <c r="B91" s="169" t="s">
        <v>294</v>
      </c>
    </row>
    <row r="92" spans="1:2" x14ac:dyDescent="0.25">
      <c r="A92" s="171" t="s">
        <v>193</v>
      </c>
      <c r="B92" s="169"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5" t="str">
        <f>'1. паспорт местоположение'!$A$5</f>
        <v>Год раскрытия информации: 2024 год</v>
      </c>
      <c r="G9" s="235"/>
      <c r="H9" s="235"/>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9" t="s">
        <v>5</v>
      </c>
      <c r="G11" s="239"/>
      <c r="H11" s="239"/>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0" t="s">
        <v>264</v>
      </c>
      <c r="G13" s="240"/>
      <c r="H13" s="240"/>
      <c r="I13" s="1"/>
      <c r="J13" s="1"/>
      <c r="K13" s="1"/>
      <c r="L13" s="1"/>
      <c r="M13" s="1"/>
      <c r="N13" s="1"/>
      <c r="O13" s="1"/>
      <c r="P13" s="1"/>
      <c r="Q13" s="1"/>
      <c r="R13" s="1"/>
      <c r="S13" s="1"/>
      <c r="T13" s="1"/>
      <c r="U13" s="1"/>
      <c r="V13" s="1"/>
    </row>
    <row r="14" spans="1:22" s="25" customFormat="1" ht="15.75" x14ac:dyDescent="0.2">
      <c r="D14" s="18"/>
      <c r="E14" s="18"/>
      <c r="F14" s="245" t="s">
        <v>4</v>
      </c>
      <c r="G14" s="245"/>
      <c r="H14" s="245"/>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5"/>
      <c r="B16" s="235"/>
      <c r="C16" s="235"/>
      <c r="D16" s="235"/>
      <c r="E16" s="235"/>
      <c r="F16" s="240" t="str">
        <f>'1. паспорт местоположение'!$A$12</f>
        <v>L_Che378</v>
      </c>
      <c r="G16" s="240"/>
      <c r="H16" s="240"/>
      <c r="I16" s="235"/>
      <c r="J16" s="235"/>
      <c r="K16" s="235"/>
      <c r="L16" s="235"/>
      <c r="M16" s="235"/>
      <c r="N16" s="235"/>
      <c r="O16" s="235"/>
      <c r="P16" s="235"/>
      <c r="Q16" s="235"/>
      <c r="R16" s="235"/>
      <c r="S16" s="235"/>
    </row>
    <row r="17" spans="1:28" s="78" customFormat="1" ht="15.75" customHeight="1" x14ac:dyDescent="0.2">
      <c r="A17" s="235"/>
      <c r="B17" s="235"/>
      <c r="C17" s="235"/>
      <c r="D17" s="235"/>
      <c r="E17" s="235"/>
      <c r="F17" s="245" t="s">
        <v>3</v>
      </c>
      <c r="G17" s="245"/>
      <c r="H17" s="245"/>
      <c r="I17" s="235"/>
      <c r="J17" s="235"/>
      <c r="K17" s="235"/>
      <c r="L17" s="235"/>
      <c r="M17" s="235"/>
      <c r="N17" s="235"/>
      <c r="O17" s="235"/>
      <c r="P17" s="235"/>
      <c r="Q17" s="235"/>
      <c r="R17" s="235"/>
      <c r="S17" s="235"/>
    </row>
    <row r="18" spans="1:28" s="78" customFormat="1" ht="18.75" x14ac:dyDescent="0.2">
      <c r="A18" s="235"/>
      <c r="B18" s="235"/>
      <c r="C18" s="235"/>
      <c r="D18" s="235"/>
      <c r="E18" s="235"/>
      <c r="F18" s="1"/>
      <c r="G18" s="1"/>
      <c r="H18" s="1"/>
      <c r="I18" s="235"/>
      <c r="J18" s="235"/>
      <c r="K18" s="235"/>
      <c r="L18" s="235"/>
      <c r="M18" s="235"/>
      <c r="N18" s="235"/>
      <c r="O18" s="235"/>
      <c r="P18" s="235"/>
      <c r="Q18" s="235"/>
      <c r="R18" s="235"/>
      <c r="S18" s="235"/>
      <c r="T18" s="17"/>
      <c r="U18" s="17"/>
      <c r="V18" s="17"/>
      <c r="W18" s="17"/>
      <c r="X18" s="17"/>
      <c r="Y18" s="17"/>
      <c r="Z18" s="17"/>
      <c r="AA18" s="17"/>
      <c r="AB18" s="17"/>
    </row>
    <row r="19" spans="1:28" s="78" customFormat="1" ht="105.75" customHeight="1" x14ac:dyDescent="0.2">
      <c r="A19" s="235"/>
      <c r="B19" s="235"/>
      <c r="C19" s="235"/>
      <c r="D19" s="235"/>
      <c r="E19" s="235"/>
      <c r="F19"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G19" s="246"/>
      <c r="H19" s="246"/>
      <c r="I19" s="235"/>
      <c r="J19" s="235"/>
      <c r="K19" s="235"/>
      <c r="L19" s="235"/>
      <c r="M19" s="235"/>
      <c r="N19" s="235"/>
      <c r="O19" s="235"/>
      <c r="P19" s="235"/>
      <c r="Q19" s="235"/>
      <c r="R19" s="235"/>
      <c r="S19" s="235"/>
      <c r="T19" s="17"/>
      <c r="U19" s="17"/>
      <c r="V19" s="17"/>
      <c r="W19" s="17"/>
      <c r="X19" s="17"/>
      <c r="Y19" s="17"/>
      <c r="Z19" s="17"/>
      <c r="AA19" s="17"/>
      <c r="AB19" s="17"/>
    </row>
    <row r="20" spans="1:28" s="78" customFormat="1" ht="18.75" x14ac:dyDescent="0.2">
      <c r="A20" s="235"/>
      <c r="B20" s="235"/>
      <c r="C20" s="235"/>
      <c r="D20" s="235"/>
      <c r="E20" s="235"/>
      <c r="F20" s="245" t="s">
        <v>2</v>
      </c>
      <c r="G20" s="245"/>
      <c r="H20" s="245"/>
      <c r="I20" s="235"/>
      <c r="J20" s="235"/>
      <c r="K20" s="235"/>
      <c r="L20" s="235"/>
      <c r="M20" s="235"/>
      <c r="N20" s="235"/>
      <c r="O20" s="235"/>
      <c r="P20" s="235"/>
      <c r="Q20" s="235"/>
      <c r="R20" s="235"/>
      <c r="S20" s="235"/>
      <c r="T20" s="17"/>
      <c r="U20" s="17"/>
      <c r="V20" s="17"/>
      <c r="W20" s="17"/>
      <c r="X20" s="17"/>
      <c r="Y20" s="17"/>
      <c r="Z20" s="17"/>
      <c r="AA20" s="17"/>
      <c r="AB20" s="17"/>
    </row>
    <row r="21" spans="1:28" s="78" customFormat="1" ht="18.75" x14ac:dyDescent="0.2">
      <c r="A21" s="235"/>
      <c r="B21" s="235"/>
      <c r="C21" s="235"/>
      <c r="D21" s="235"/>
      <c r="E21" s="235"/>
      <c r="F21" s="245"/>
      <c r="G21" s="245"/>
      <c r="H21" s="245"/>
      <c r="I21" s="235"/>
      <c r="J21" s="235"/>
      <c r="K21" s="235"/>
      <c r="L21" s="235"/>
      <c r="M21" s="235"/>
      <c r="N21" s="235"/>
      <c r="O21" s="235"/>
      <c r="P21" s="235"/>
      <c r="Q21" s="235"/>
      <c r="R21" s="235"/>
      <c r="S21" s="235"/>
      <c r="T21" s="17"/>
      <c r="U21" s="17"/>
      <c r="V21" s="17"/>
      <c r="W21" s="17"/>
      <c r="X21" s="17"/>
      <c r="Y21" s="17"/>
      <c r="Z21" s="17"/>
      <c r="AA21" s="17"/>
      <c r="AB21" s="17"/>
    </row>
    <row r="22" spans="1:28" s="25" customFormat="1" ht="15" customHeight="1" x14ac:dyDescent="0.2">
      <c r="A22" s="235"/>
      <c r="B22" s="235"/>
      <c r="C22" s="235"/>
      <c r="D22" s="235"/>
      <c r="E22" s="235"/>
      <c r="F22" s="245"/>
      <c r="G22" s="245"/>
      <c r="H22" s="245"/>
      <c r="I22" s="235"/>
      <c r="J22" s="235"/>
      <c r="K22" s="235"/>
      <c r="L22" s="235"/>
      <c r="M22" s="235"/>
      <c r="N22" s="235"/>
      <c r="O22" s="235"/>
      <c r="P22" s="235"/>
      <c r="Q22" s="235"/>
      <c r="R22" s="235"/>
      <c r="S22" s="235"/>
      <c r="T22" s="15"/>
      <c r="U22" s="15"/>
      <c r="V22" s="15"/>
      <c r="W22" s="15"/>
      <c r="X22" s="15"/>
      <c r="Y22" s="15"/>
      <c r="Z22" s="15"/>
      <c r="AA22" s="15"/>
      <c r="AB22" s="15"/>
    </row>
    <row r="23" spans="1:28" s="25" customFormat="1" ht="15" customHeight="1" x14ac:dyDescent="0.2">
      <c r="A23" s="235"/>
      <c r="B23" s="235"/>
      <c r="C23" s="235"/>
      <c r="D23" s="235"/>
      <c r="E23" s="235"/>
      <c r="F23" s="250"/>
      <c r="G23" s="250"/>
      <c r="H23" s="250"/>
      <c r="I23" s="235"/>
      <c r="J23" s="235"/>
      <c r="K23" s="235"/>
      <c r="L23" s="235"/>
      <c r="M23" s="235"/>
      <c r="N23" s="235"/>
      <c r="O23" s="235"/>
      <c r="P23" s="235"/>
      <c r="Q23" s="235"/>
      <c r="R23" s="235"/>
      <c r="S23" s="235"/>
      <c r="T23" s="79"/>
      <c r="U23" s="79"/>
      <c r="V23" s="79"/>
      <c r="W23" s="79"/>
      <c r="X23" s="79"/>
      <c r="Y23" s="79"/>
    </row>
    <row r="24" spans="1:28" s="25" customFormat="1" ht="45.75" customHeight="1" x14ac:dyDescent="0.2">
      <c r="A24" s="251" t="s">
        <v>275</v>
      </c>
      <c r="B24" s="251"/>
      <c r="C24" s="251"/>
      <c r="D24" s="251"/>
      <c r="E24" s="251"/>
      <c r="F24" s="251"/>
      <c r="G24" s="251"/>
      <c r="H24" s="251"/>
      <c r="I24" s="251"/>
      <c r="J24" s="251"/>
      <c r="K24" s="251"/>
      <c r="L24" s="251"/>
      <c r="M24" s="251"/>
      <c r="N24" s="251"/>
      <c r="O24" s="251"/>
      <c r="P24" s="251"/>
      <c r="Q24" s="251"/>
      <c r="R24" s="251"/>
      <c r="S24" s="251"/>
      <c r="T24" s="114"/>
      <c r="U24" s="114"/>
      <c r="V24" s="114"/>
      <c r="W24" s="114"/>
      <c r="X24" s="114"/>
      <c r="Y24" s="114"/>
      <c r="Z24" s="114"/>
      <c r="AA24" s="114"/>
      <c r="AB24" s="114"/>
    </row>
    <row r="25" spans="1:28" s="25" customFormat="1" ht="15" customHeight="1" x14ac:dyDescent="0.2">
      <c r="A25" s="252"/>
      <c r="B25" s="252"/>
      <c r="C25" s="252"/>
      <c r="D25" s="252"/>
      <c r="E25" s="252"/>
      <c r="F25" s="252"/>
      <c r="G25" s="252"/>
      <c r="H25" s="252"/>
      <c r="I25" s="252"/>
      <c r="J25" s="252"/>
      <c r="K25" s="252"/>
      <c r="L25" s="252"/>
      <c r="M25" s="252"/>
      <c r="N25" s="252"/>
      <c r="O25" s="252"/>
      <c r="P25" s="252"/>
      <c r="Q25" s="252"/>
      <c r="R25" s="252"/>
      <c r="S25" s="252"/>
      <c r="T25" s="79"/>
      <c r="U25" s="79"/>
      <c r="V25" s="79"/>
      <c r="W25" s="79"/>
      <c r="X25" s="79"/>
      <c r="Y25" s="79"/>
    </row>
    <row r="26" spans="1:28" s="25" customFormat="1" ht="54" customHeight="1" x14ac:dyDescent="0.2">
      <c r="A26" s="247" t="s">
        <v>1</v>
      </c>
      <c r="B26" s="247" t="s">
        <v>276</v>
      </c>
      <c r="C26" s="248" t="s">
        <v>277</v>
      </c>
      <c r="D26" s="247" t="s">
        <v>278</v>
      </c>
      <c r="E26" s="247" t="s">
        <v>279</v>
      </c>
      <c r="F26" s="247" t="s">
        <v>280</v>
      </c>
      <c r="G26" s="247" t="s">
        <v>281</v>
      </c>
      <c r="H26" s="247" t="s">
        <v>282</v>
      </c>
      <c r="I26" s="247" t="s">
        <v>283</v>
      </c>
      <c r="J26" s="247" t="s">
        <v>284</v>
      </c>
      <c r="K26" s="247" t="s">
        <v>29</v>
      </c>
      <c r="L26" s="247" t="s">
        <v>285</v>
      </c>
      <c r="M26" s="247" t="s">
        <v>286</v>
      </c>
      <c r="N26" s="247" t="s">
        <v>287</v>
      </c>
      <c r="O26" s="247" t="s">
        <v>288</v>
      </c>
      <c r="P26" s="247" t="s">
        <v>289</v>
      </c>
      <c r="Q26" s="247" t="s">
        <v>290</v>
      </c>
      <c r="R26" s="247"/>
      <c r="S26" s="253" t="s">
        <v>291</v>
      </c>
      <c r="T26" s="79"/>
      <c r="U26" s="79"/>
      <c r="V26" s="79"/>
      <c r="W26" s="79"/>
      <c r="X26" s="79"/>
      <c r="Y26" s="79"/>
    </row>
    <row r="27" spans="1:28" s="25" customFormat="1" ht="180.75" customHeight="1" x14ac:dyDescent="0.2">
      <c r="A27" s="247"/>
      <c r="B27" s="247"/>
      <c r="C27" s="249"/>
      <c r="D27" s="247"/>
      <c r="E27" s="247"/>
      <c r="F27" s="247"/>
      <c r="G27" s="247"/>
      <c r="H27" s="247"/>
      <c r="I27" s="247"/>
      <c r="J27" s="247"/>
      <c r="K27" s="247"/>
      <c r="L27" s="247"/>
      <c r="M27" s="247"/>
      <c r="N27" s="247"/>
      <c r="O27" s="247"/>
      <c r="P27" s="247"/>
      <c r="Q27" s="115" t="s">
        <v>292</v>
      </c>
      <c r="R27" s="23" t="s">
        <v>293</v>
      </c>
      <c r="S27" s="253"/>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4"/>
      <c r="B5" s="254"/>
      <c r="C5" s="254"/>
      <c r="D5" s="254"/>
      <c r="E5" s="254"/>
      <c r="F5" s="254"/>
      <c r="G5" s="254"/>
      <c r="H5" s="254"/>
      <c r="I5" s="254"/>
      <c r="J5" s="254"/>
      <c r="K5" s="254"/>
      <c r="L5" s="254"/>
      <c r="M5" s="254"/>
      <c r="N5" s="254"/>
      <c r="O5" s="254"/>
      <c r="P5" s="254"/>
      <c r="Q5" s="254"/>
      <c r="R5" s="254"/>
      <c r="S5" s="254"/>
      <c r="T5" s="254"/>
    </row>
    <row r="6" spans="1:27" s="78" customFormat="1" x14ac:dyDescent="0.2">
      <c r="A6" s="235" t="str">
        <f>'1. паспорт местоположение'!$A$5</f>
        <v>Год раскрытия информации: 2024 год</v>
      </c>
      <c r="B6" s="235"/>
      <c r="C6" s="235"/>
      <c r="D6" s="235"/>
      <c r="E6" s="235"/>
      <c r="F6" s="235"/>
      <c r="G6" s="235"/>
      <c r="H6" s="235"/>
      <c r="I6" s="235"/>
      <c r="J6" s="235"/>
      <c r="K6" s="235"/>
      <c r="L6" s="235"/>
      <c r="M6" s="235"/>
      <c r="N6" s="235"/>
      <c r="O6" s="235"/>
      <c r="P6" s="235"/>
      <c r="Q6" s="235"/>
      <c r="R6" s="235"/>
      <c r="S6" s="235"/>
      <c r="T6" s="235"/>
      <c r="U6" s="76"/>
      <c r="V6" s="76"/>
      <c r="W6" s="76"/>
      <c r="X6" s="76"/>
      <c r="Y6" s="76"/>
      <c r="Z6" s="76"/>
      <c r="AA6" s="76"/>
    </row>
    <row r="7" spans="1:27" s="78" customFormat="1" ht="15.75" customHeight="1" x14ac:dyDescent="0.2">
      <c r="A7" s="254">
        <v>0</v>
      </c>
      <c r="B7" s="254"/>
      <c r="C7" s="254"/>
      <c r="D7" s="254"/>
      <c r="E7" s="254"/>
      <c r="F7" s="254"/>
      <c r="G7" s="254"/>
      <c r="H7" s="254"/>
      <c r="I7" s="254"/>
      <c r="J7" s="254"/>
      <c r="K7" s="254"/>
      <c r="L7" s="254"/>
      <c r="M7" s="254"/>
      <c r="N7" s="254"/>
      <c r="O7" s="254"/>
      <c r="P7" s="254"/>
      <c r="Q7" s="254"/>
      <c r="R7" s="254"/>
      <c r="S7" s="254"/>
      <c r="T7" s="254"/>
    </row>
    <row r="8" spans="1:27" s="78" customFormat="1" ht="18.75" x14ac:dyDescent="0.2">
      <c r="A8" s="239" t="s">
        <v>5</v>
      </c>
      <c r="B8" s="239"/>
      <c r="C8" s="239"/>
      <c r="D8" s="239"/>
      <c r="E8" s="239"/>
      <c r="F8" s="239"/>
      <c r="G8" s="239"/>
      <c r="H8" s="239"/>
      <c r="I8" s="239"/>
      <c r="J8" s="239"/>
      <c r="K8" s="239"/>
      <c r="L8" s="239"/>
      <c r="M8" s="239"/>
      <c r="N8" s="239"/>
      <c r="O8" s="239"/>
      <c r="P8" s="239"/>
      <c r="Q8" s="239"/>
      <c r="R8" s="239"/>
      <c r="S8" s="239"/>
      <c r="T8" s="239"/>
      <c r="U8" s="83"/>
      <c r="V8" s="83"/>
      <c r="W8" s="83"/>
      <c r="X8" s="83"/>
      <c r="Y8" s="83"/>
    </row>
    <row r="9" spans="1:27" s="78" customFormat="1" ht="18.75" x14ac:dyDescent="0.2">
      <c r="A9" s="254">
        <v>0</v>
      </c>
      <c r="B9" s="254"/>
      <c r="C9" s="254"/>
      <c r="D9" s="254"/>
      <c r="E9" s="254"/>
      <c r="F9" s="254"/>
      <c r="G9" s="254"/>
      <c r="H9" s="254"/>
      <c r="I9" s="254"/>
      <c r="J9" s="254"/>
      <c r="K9" s="254"/>
      <c r="L9" s="254"/>
      <c r="M9" s="254"/>
      <c r="N9" s="254"/>
      <c r="O9" s="254"/>
      <c r="P9" s="254"/>
      <c r="Q9" s="254"/>
      <c r="R9" s="254"/>
      <c r="S9" s="254"/>
      <c r="T9" s="254"/>
      <c r="U9" s="17"/>
      <c r="V9" s="17"/>
      <c r="W9" s="17"/>
    </row>
    <row r="10" spans="1:27" s="78" customFormat="1" ht="18.75" customHeight="1" x14ac:dyDescent="0.2">
      <c r="A10" s="240" t="s">
        <v>264</v>
      </c>
      <c r="B10" s="240"/>
      <c r="C10" s="240"/>
      <c r="D10" s="240"/>
      <c r="E10" s="240"/>
      <c r="F10" s="240"/>
      <c r="G10" s="240"/>
      <c r="H10" s="240"/>
      <c r="I10" s="240"/>
      <c r="J10" s="240"/>
      <c r="K10" s="240"/>
      <c r="L10" s="240"/>
      <c r="M10" s="240"/>
      <c r="N10" s="240"/>
      <c r="O10" s="240"/>
      <c r="P10" s="240"/>
      <c r="Q10" s="240"/>
      <c r="R10" s="240"/>
      <c r="S10" s="240"/>
      <c r="T10" s="240"/>
      <c r="U10" s="84"/>
      <c r="V10" s="84"/>
      <c r="W10" s="84"/>
      <c r="X10" s="84"/>
      <c r="Y10" s="84"/>
    </row>
    <row r="11" spans="1:27" s="78" customFormat="1" ht="18.75" customHeight="1" x14ac:dyDescent="0.2">
      <c r="A11" s="245" t="s">
        <v>4</v>
      </c>
      <c r="B11" s="245"/>
      <c r="C11" s="245"/>
      <c r="D11" s="245"/>
      <c r="E11" s="245"/>
      <c r="F11" s="245"/>
      <c r="G11" s="245"/>
      <c r="H11" s="245"/>
      <c r="I11" s="245"/>
      <c r="J11" s="245"/>
      <c r="K11" s="245"/>
      <c r="L11" s="245"/>
      <c r="M11" s="245"/>
      <c r="N11" s="245"/>
      <c r="O11" s="245"/>
      <c r="P11" s="245"/>
      <c r="Q11" s="245"/>
      <c r="R11" s="245"/>
      <c r="S11" s="245"/>
      <c r="T11" s="245"/>
      <c r="U11" s="82"/>
      <c r="V11" s="82"/>
      <c r="W11" s="82"/>
      <c r="X11" s="82"/>
      <c r="Y11" s="82"/>
    </row>
    <row r="12" spans="1:27" s="78" customFormat="1" ht="18.75" x14ac:dyDescent="0.2">
      <c r="A12" s="254">
        <v>0</v>
      </c>
      <c r="B12" s="254"/>
      <c r="C12" s="254"/>
      <c r="D12" s="254"/>
      <c r="E12" s="254"/>
      <c r="F12" s="254"/>
      <c r="G12" s="254"/>
      <c r="H12" s="254"/>
      <c r="I12" s="254"/>
      <c r="J12" s="254"/>
      <c r="K12" s="254"/>
      <c r="L12" s="254"/>
      <c r="M12" s="254"/>
      <c r="N12" s="254"/>
      <c r="O12" s="254"/>
      <c r="P12" s="254"/>
      <c r="Q12" s="254"/>
      <c r="R12" s="254"/>
      <c r="S12" s="254"/>
      <c r="T12" s="254"/>
      <c r="U12" s="17"/>
      <c r="V12" s="17"/>
      <c r="W12" s="17"/>
    </row>
    <row r="13" spans="1:27" s="78" customFormat="1" ht="18.75" customHeight="1" x14ac:dyDescent="0.2">
      <c r="A13" s="240" t="str">
        <f>'1. паспорт местоположение'!$A$12</f>
        <v>L_Che378</v>
      </c>
      <c r="B13" s="240"/>
      <c r="C13" s="240"/>
      <c r="D13" s="240"/>
      <c r="E13" s="240"/>
      <c r="F13" s="240"/>
      <c r="G13" s="240"/>
      <c r="H13" s="240"/>
      <c r="I13" s="240"/>
      <c r="J13" s="240"/>
      <c r="K13" s="240"/>
      <c r="L13" s="240"/>
      <c r="M13" s="240"/>
      <c r="N13" s="240"/>
      <c r="O13" s="240"/>
      <c r="P13" s="240"/>
      <c r="Q13" s="240"/>
      <c r="R13" s="240"/>
      <c r="S13" s="240"/>
      <c r="T13" s="240"/>
      <c r="U13" s="84"/>
      <c r="V13" s="84"/>
      <c r="W13" s="84"/>
      <c r="X13" s="84"/>
      <c r="Y13" s="84"/>
    </row>
    <row r="14" spans="1:27" s="78" customFormat="1" ht="18.75" customHeight="1" x14ac:dyDescent="0.2">
      <c r="A14" s="245" t="s">
        <v>3</v>
      </c>
      <c r="B14" s="245"/>
      <c r="C14" s="245"/>
      <c r="D14" s="245"/>
      <c r="E14" s="245"/>
      <c r="F14" s="245"/>
      <c r="G14" s="245"/>
      <c r="H14" s="245"/>
      <c r="I14" s="245"/>
      <c r="J14" s="245"/>
      <c r="K14" s="245"/>
      <c r="L14" s="245"/>
      <c r="M14" s="245"/>
      <c r="N14" s="245"/>
      <c r="O14" s="245"/>
      <c r="P14" s="245"/>
      <c r="Q14" s="245"/>
      <c r="R14" s="245"/>
      <c r="S14" s="245"/>
      <c r="T14" s="245"/>
      <c r="U14" s="82"/>
      <c r="V14" s="82"/>
      <c r="W14" s="82"/>
      <c r="X14" s="82"/>
      <c r="Y14" s="82"/>
    </row>
    <row r="15" spans="1:27" s="81" customFormat="1" ht="15.75" customHeight="1" x14ac:dyDescent="0.2">
      <c r="A15" s="270">
        <v>0</v>
      </c>
      <c r="B15" s="270"/>
      <c r="C15" s="270"/>
      <c r="D15" s="270"/>
      <c r="E15" s="270"/>
      <c r="F15" s="270"/>
      <c r="G15" s="270"/>
      <c r="H15" s="270"/>
      <c r="I15" s="270"/>
      <c r="J15" s="270"/>
      <c r="K15" s="270"/>
      <c r="L15" s="270"/>
      <c r="M15" s="270"/>
      <c r="N15" s="270"/>
      <c r="O15" s="270"/>
      <c r="P15" s="270"/>
      <c r="Q15" s="270"/>
      <c r="R15" s="270"/>
      <c r="S15" s="270"/>
      <c r="T15" s="270"/>
      <c r="U15" s="1"/>
      <c r="V15" s="1"/>
      <c r="W15" s="1"/>
    </row>
    <row r="16" spans="1:27" s="25" customFormat="1" x14ac:dyDescent="0.2">
      <c r="A16"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6" s="246"/>
      <c r="C16" s="246"/>
      <c r="D16" s="246"/>
      <c r="E16" s="246"/>
      <c r="F16" s="246"/>
      <c r="G16" s="246"/>
      <c r="H16" s="246"/>
      <c r="I16" s="246"/>
      <c r="J16" s="246"/>
      <c r="K16" s="246"/>
      <c r="L16" s="246"/>
      <c r="M16" s="246"/>
      <c r="N16" s="246"/>
      <c r="O16" s="246"/>
      <c r="P16" s="246"/>
      <c r="Q16" s="246"/>
      <c r="R16" s="246"/>
      <c r="S16" s="246"/>
      <c r="T16" s="246"/>
      <c r="U16" s="84"/>
      <c r="V16" s="84"/>
      <c r="W16" s="84"/>
      <c r="X16" s="84"/>
      <c r="Y16" s="84"/>
    </row>
    <row r="17" spans="1:113" s="25" customFormat="1" ht="15" customHeight="1" x14ac:dyDescent="0.2">
      <c r="A17" s="245" t="s">
        <v>2</v>
      </c>
      <c r="B17" s="245"/>
      <c r="C17" s="245"/>
      <c r="D17" s="245"/>
      <c r="E17" s="245"/>
      <c r="F17" s="245"/>
      <c r="G17" s="245"/>
      <c r="H17" s="245"/>
      <c r="I17" s="245"/>
      <c r="J17" s="245"/>
      <c r="K17" s="245"/>
      <c r="L17" s="245"/>
      <c r="M17" s="245"/>
      <c r="N17" s="245"/>
      <c r="O17" s="245"/>
      <c r="P17" s="245"/>
      <c r="Q17" s="245"/>
      <c r="R17" s="245"/>
      <c r="S17" s="245"/>
      <c r="T17" s="245"/>
      <c r="U17" s="82"/>
      <c r="V17" s="82"/>
      <c r="W17" s="82"/>
      <c r="X17" s="82"/>
      <c r="Y17" s="82"/>
    </row>
    <row r="18" spans="1:113" s="2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5" customFormat="1" ht="15" customHeight="1" x14ac:dyDescent="0.2">
      <c r="A19" s="258" t="s">
        <v>295</v>
      </c>
      <c r="B19" s="258"/>
      <c r="C19" s="258"/>
      <c r="D19" s="258"/>
      <c r="E19" s="258"/>
      <c r="F19" s="258"/>
      <c r="G19" s="258"/>
      <c r="H19" s="258"/>
      <c r="I19" s="258"/>
      <c r="J19" s="258"/>
      <c r="K19" s="258"/>
      <c r="L19" s="258"/>
      <c r="M19" s="258"/>
      <c r="N19" s="258"/>
      <c r="O19" s="258"/>
      <c r="P19" s="258"/>
      <c r="Q19" s="258"/>
      <c r="R19" s="258"/>
      <c r="S19" s="258"/>
      <c r="T19" s="258"/>
    </row>
    <row r="20" spans="1:113" s="2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63" t="s">
        <v>296</v>
      </c>
      <c r="C21" s="264"/>
      <c r="D21" s="267" t="s">
        <v>297</v>
      </c>
      <c r="E21" s="263" t="s">
        <v>298</v>
      </c>
      <c r="F21" s="264"/>
      <c r="G21" s="263" t="s">
        <v>299</v>
      </c>
      <c r="H21" s="264"/>
      <c r="I21" s="263" t="s">
        <v>300</v>
      </c>
      <c r="J21" s="264"/>
      <c r="K21" s="267" t="s">
        <v>301</v>
      </c>
      <c r="L21" s="263" t="s">
        <v>302</v>
      </c>
      <c r="M21" s="264"/>
      <c r="N21" s="263" t="s">
        <v>303</v>
      </c>
      <c r="O21" s="264"/>
      <c r="P21" s="267" t="s">
        <v>304</v>
      </c>
      <c r="Q21" s="255" t="s">
        <v>36</v>
      </c>
      <c r="R21" s="272"/>
      <c r="S21" s="255" t="s">
        <v>35</v>
      </c>
      <c r="T21" s="256"/>
    </row>
    <row r="22" spans="1:113" ht="204.75" customHeight="1" x14ac:dyDescent="0.25">
      <c r="A22" s="261"/>
      <c r="B22" s="265"/>
      <c r="C22" s="266"/>
      <c r="D22" s="268"/>
      <c r="E22" s="265"/>
      <c r="F22" s="266"/>
      <c r="G22" s="265"/>
      <c r="H22" s="266"/>
      <c r="I22" s="265"/>
      <c r="J22" s="266"/>
      <c r="K22" s="269"/>
      <c r="L22" s="265"/>
      <c r="M22" s="266"/>
      <c r="N22" s="265"/>
      <c r="O22" s="266"/>
      <c r="P22" s="269"/>
      <c r="Q22" s="27" t="s">
        <v>34</v>
      </c>
      <c r="R22" s="27" t="s">
        <v>242</v>
      </c>
      <c r="S22" s="27" t="s">
        <v>33</v>
      </c>
      <c r="T22" s="27" t="s">
        <v>32</v>
      </c>
    </row>
    <row r="23" spans="1:113" ht="51.75" customHeight="1" x14ac:dyDescent="0.25">
      <c r="A23" s="262"/>
      <c r="B23" s="27" t="s">
        <v>30</v>
      </c>
      <c r="C23" s="27" t="s">
        <v>31</v>
      </c>
      <c r="D23" s="269"/>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71" t="s">
        <v>306</v>
      </c>
      <c r="C29" s="271"/>
      <c r="D29" s="271"/>
      <c r="E29" s="271"/>
      <c r="F29" s="271"/>
      <c r="G29" s="271"/>
      <c r="H29" s="271"/>
      <c r="I29" s="271"/>
      <c r="J29" s="271"/>
      <c r="K29" s="271"/>
      <c r="L29" s="271"/>
      <c r="M29" s="271"/>
      <c r="N29" s="271"/>
      <c r="O29" s="271"/>
      <c r="P29" s="271"/>
      <c r="Q29" s="271"/>
      <c r="R29" s="271"/>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5" t="str">
        <f>'1. паспорт местоположение'!$A$5</f>
        <v>Год раскрытия информации: 2024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9" t="s">
        <v>5</v>
      </c>
      <c r="F7" s="239"/>
      <c r="G7" s="239"/>
      <c r="H7" s="239"/>
      <c r="I7" s="239"/>
      <c r="J7" s="239"/>
      <c r="K7" s="239"/>
      <c r="L7" s="239"/>
      <c r="M7" s="239"/>
      <c r="N7" s="239"/>
      <c r="O7" s="239"/>
      <c r="P7" s="239"/>
      <c r="Q7" s="239"/>
      <c r="R7" s="239"/>
      <c r="S7" s="239"/>
      <c r="T7" s="239"/>
      <c r="U7" s="239"/>
      <c r="V7" s="239"/>
      <c r="W7" s="239"/>
      <c r="X7" s="239"/>
      <c r="Y7" s="239"/>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0" t="s">
        <v>264</v>
      </c>
      <c r="F9" s="240"/>
      <c r="G9" s="240"/>
      <c r="H9" s="240"/>
      <c r="I9" s="240"/>
      <c r="J9" s="240"/>
      <c r="K9" s="240"/>
      <c r="L9" s="240"/>
      <c r="M9" s="240"/>
      <c r="N9" s="240"/>
      <c r="O9" s="240"/>
      <c r="P9" s="240"/>
      <c r="Q9" s="240"/>
      <c r="R9" s="240"/>
      <c r="S9" s="240"/>
      <c r="T9" s="240"/>
      <c r="U9" s="240"/>
      <c r="V9" s="240"/>
      <c r="W9" s="240"/>
      <c r="X9" s="240"/>
      <c r="Y9" s="240"/>
    </row>
    <row r="10" spans="1:27" s="78" customFormat="1" ht="18.75" customHeight="1" x14ac:dyDescent="0.2">
      <c r="E10" s="245" t="s">
        <v>4</v>
      </c>
      <c r="F10" s="245"/>
      <c r="G10" s="245"/>
      <c r="H10" s="245"/>
      <c r="I10" s="245"/>
      <c r="J10" s="245"/>
      <c r="K10" s="245"/>
      <c r="L10" s="245"/>
      <c r="M10" s="245"/>
      <c r="N10" s="245"/>
      <c r="O10" s="245"/>
      <c r="P10" s="245"/>
      <c r="Q10" s="245"/>
      <c r="R10" s="245"/>
      <c r="S10" s="245"/>
      <c r="T10" s="245"/>
      <c r="U10" s="245"/>
      <c r="V10" s="245"/>
      <c r="W10" s="245"/>
      <c r="X10" s="245"/>
      <c r="Y10" s="245"/>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0" t="str">
        <f>'1. паспорт местоположение'!$A$12</f>
        <v>L_Che378</v>
      </c>
      <c r="F12" s="240"/>
      <c r="G12" s="240"/>
      <c r="H12" s="240"/>
      <c r="I12" s="240"/>
      <c r="J12" s="240"/>
      <c r="K12" s="240"/>
      <c r="L12" s="240"/>
      <c r="M12" s="240"/>
      <c r="N12" s="240"/>
      <c r="O12" s="240"/>
      <c r="P12" s="240"/>
      <c r="Q12" s="240"/>
      <c r="R12" s="240"/>
      <c r="S12" s="240"/>
      <c r="T12" s="240"/>
      <c r="U12" s="240"/>
      <c r="V12" s="240"/>
      <c r="W12" s="240"/>
      <c r="X12" s="240"/>
      <c r="Y12" s="240"/>
    </row>
    <row r="13" spans="1:27" s="78" customFormat="1" ht="18.75" customHeight="1" x14ac:dyDescent="0.2">
      <c r="E13" s="245" t="s">
        <v>3</v>
      </c>
      <c r="F13" s="245"/>
      <c r="G13" s="245"/>
      <c r="H13" s="245"/>
      <c r="I13" s="245"/>
      <c r="J13" s="245"/>
      <c r="K13" s="245"/>
      <c r="L13" s="245"/>
      <c r="M13" s="245"/>
      <c r="N13" s="245"/>
      <c r="O13" s="245"/>
      <c r="P13" s="245"/>
      <c r="Q13" s="245"/>
      <c r="R13" s="245"/>
      <c r="S13" s="245"/>
      <c r="T13" s="245"/>
      <c r="U13" s="245"/>
      <c r="V13" s="245"/>
      <c r="W13" s="245"/>
      <c r="X13" s="245"/>
      <c r="Y13" s="245"/>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F15" s="246"/>
      <c r="G15" s="246"/>
      <c r="H15" s="246"/>
      <c r="I15" s="246"/>
      <c r="J15" s="246"/>
      <c r="K15" s="246"/>
      <c r="L15" s="246"/>
      <c r="M15" s="246"/>
      <c r="N15" s="246"/>
      <c r="O15" s="246"/>
      <c r="P15" s="246"/>
      <c r="Q15" s="246"/>
      <c r="R15" s="246"/>
      <c r="S15" s="246"/>
      <c r="T15" s="246"/>
      <c r="U15" s="246"/>
      <c r="V15" s="246"/>
      <c r="W15" s="246"/>
      <c r="X15" s="246"/>
      <c r="Y15" s="246"/>
    </row>
    <row r="16" spans="1:27" s="25" customFormat="1" ht="15" customHeight="1" x14ac:dyDescent="0.2">
      <c r="E16" s="245" t="s">
        <v>2</v>
      </c>
      <c r="F16" s="245"/>
      <c r="G16" s="245"/>
      <c r="H16" s="245"/>
      <c r="I16" s="245"/>
      <c r="J16" s="245"/>
      <c r="K16" s="245"/>
      <c r="L16" s="245"/>
      <c r="M16" s="245"/>
      <c r="N16" s="245"/>
      <c r="O16" s="245"/>
      <c r="P16" s="245"/>
      <c r="Q16" s="245"/>
      <c r="R16" s="245"/>
      <c r="S16" s="245"/>
      <c r="T16" s="245"/>
      <c r="U16" s="245"/>
      <c r="V16" s="245"/>
      <c r="W16" s="245"/>
      <c r="X16" s="245"/>
      <c r="Y16" s="245"/>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244</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26" customFormat="1" ht="21" customHeight="1" x14ac:dyDescent="0.25"/>
    <row r="21" spans="1:27" ht="15.75" customHeight="1" x14ac:dyDescent="0.25">
      <c r="A21" s="267" t="s">
        <v>1</v>
      </c>
      <c r="B21" s="263" t="s">
        <v>249</v>
      </c>
      <c r="C21" s="264"/>
      <c r="D21" s="263" t="s">
        <v>251</v>
      </c>
      <c r="E21" s="264"/>
      <c r="F21" s="255" t="s">
        <v>29</v>
      </c>
      <c r="G21" s="256"/>
      <c r="H21" s="256"/>
      <c r="I21" s="272"/>
      <c r="J21" s="267" t="s">
        <v>252</v>
      </c>
      <c r="K21" s="263" t="s">
        <v>253</v>
      </c>
      <c r="L21" s="264"/>
      <c r="M21" s="263" t="s">
        <v>254</v>
      </c>
      <c r="N21" s="264"/>
      <c r="O21" s="263" t="s">
        <v>243</v>
      </c>
      <c r="P21" s="264"/>
      <c r="Q21" s="263" t="s">
        <v>41</v>
      </c>
      <c r="R21" s="264"/>
      <c r="S21" s="267" t="s">
        <v>40</v>
      </c>
      <c r="T21" s="267" t="s">
        <v>255</v>
      </c>
      <c r="U21" s="267" t="s">
        <v>250</v>
      </c>
      <c r="V21" s="263" t="s">
        <v>39</v>
      </c>
      <c r="W21" s="264"/>
      <c r="X21" s="255" t="s">
        <v>36</v>
      </c>
      <c r="Y21" s="256"/>
      <c r="Z21" s="255" t="s">
        <v>35</v>
      </c>
      <c r="AA21" s="256"/>
    </row>
    <row r="22" spans="1:27" ht="216" customHeight="1" x14ac:dyDescent="0.25">
      <c r="A22" s="268"/>
      <c r="B22" s="265"/>
      <c r="C22" s="266"/>
      <c r="D22" s="265"/>
      <c r="E22" s="266"/>
      <c r="F22" s="255" t="s">
        <v>38</v>
      </c>
      <c r="G22" s="272"/>
      <c r="H22" s="255" t="s">
        <v>37</v>
      </c>
      <c r="I22" s="272"/>
      <c r="J22" s="269"/>
      <c r="K22" s="265"/>
      <c r="L22" s="266"/>
      <c r="M22" s="265"/>
      <c r="N22" s="266"/>
      <c r="O22" s="265"/>
      <c r="P22" s="266"/>
      <c r="Q22" s="265"/>
      <c r="R22" s="266"/>
      <c r="S22" s="269"/>
      <c r="T22" s="269"/>
      <c r="U22" s="269"/>
      <c r="V22" s="265"/>
      <c r="W22" s="266"/>
      <c r="X22" s="27" t="s">
        <v>34</v>
      </c>
      <c r="Y22" s="27" t="s">
        <v>242</v>
      </c>
      <c r="Z22" s="27" t="s">
        <v>33</v>
      </c>
      <c r="AA22" s="27" t="s">
        <v>32</v>
      </c>
    </row>
    <row r="23" spans="1:27" ht="60" customHeight="1" x14ac:dyDescent="0.25">
      <c r="A23" s="269"/>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5" t="str">
        <f>'1. паспорт местоположение'!$A$5</f>
        <v>Год раскрытия информации: 2024 год</v>
      </c>
      <c r="B5" s="235"/>
      <c r="C5" s="235"/>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9" t="s">
        <v>5</v>
      </c>
      <c r="B7" s="239"/>
      <c r="C7" s="239"/>
      <c r="D7" s="17"/>
      <c r="E7" s="17"/>
      <c r="F7" s="17"/>
      <c r="G7" s="17"/>
      <c r="H7" s="17"/>
      <c r="I7" s="17"/>
      <c r="J7" s="17"/>
      <c r="K7" s="17"/>
      <c r="L7" s="17"/>
      <c r="M7" s="17"/>
      <c r="N7" s="17"/>
      <c r="O7" s="17"/>
      <c r="P7" s="17"/>
      <c r="Q7" s="17"/>
      <c r="R7" s="17"/>
      <c r="S7" s="17"/>
      <c r="T7" s="17"/>
      <c r="U7" s="17"/>
    </row>
    <row r="8" spans="1:29" s="78" customFormat="1" ht="18.75" x14ac:dyDescent="0.2">
      <c r="A8" s="239"/>
      <c r="B8" s="239"/>
      <c r="C8" s="239"/>
      <c r="D8" s="83"/>
      <c r="E8" s="83"/>
      <c r="F8" s="83"/>
      <c r="G8" s="83"/>
      <c r="H8" s="17"/>
      <c r="I8" s="17"/>
      <c r="J8" s="17"/>
      <c r="K8" s="17"/>
      <c r="L8" s="17"/>
      <c r="M8" s="17"/>
      <c r="N8" s="17"/>
      <c r="O8" s="17"/>
      <c r="P8" s="17"/>
      <c r="Q8" s="17"/>
      <c r="R8" s="17"/>
      <c r="S8" s="17"/>
      <c r="T8" s="17"/>
      <c r="U8" s="17"/>
    </row>
    <row r="9" spans="1:29" s="78" customFormat="1" ht="18.75" x14ac:dyDescent="0.2">
      <c r="A9" s="240" t="s">
        <v>264</v>
      </c>
      <c r="B9" s="240"/>
      <c r="C9" s="240"/>
      <c r="D9" s="18"/>
      <c r="E9" s="18"/>
      <c r="F9" s="18"/>
      <c r="G9" s="18"/>
      <c r="H9" s="17"/>
      <c r="I9" s="17"/>
      <c r="J9" s="17"/>
      <c r="K9" s="17"/>
      <c r="L9" s="17"/>
      <c r="M9" s="17"/>
      <c r="N9" s="17"/>
      <c r="O9" s="17"/>
      <c r="P9" s="17"/>
      <c r="Q9" s="17"/>
      <c r="R9" s="17"/>
      <c r="S9" s="17"/>
      <c r="T9" s="17"/>
      <c r="U9" s="17"/>
    </row>
    <row r="10" spans="1:29" s="78" customFormat="1" ht="18.75" x14ac:dyDescent="0.2">
      <c r="A10" s="245" t="s">
        <v>4</v>
      </c>
      <c r="B10" s="245"/>
      <c r="C10" s="245"/>
      <c r="D10" s="15"/>
      <c r="E10" s="15"/>
      <c r="F10" s="15"/>
      <c r="G10" s="15"/>
      <c r="H10" s="17"/>
      <c r="I10" s="17"/>
      <c r="J10" s="17"/>
      <c r="K10" s="17"/>
      <c r="L10" s="17"/>
      <c r="M10" s="17"/>
      <c r="N10" s="17"/>
      <c r="O10" s="17"/>
      <c r="P10" s="17"/>
      <c r="Q10" s="17"/>
      <c r="R10" s="17"/>
      <c r="S10" s="17"/>
      <c r="T10" s="17"/>
      <c r="U10" s="17"/>
    </row>
    <row r="11" spans="1:29" s="78" customFormat="1" ht="18.75" x14ac:dyDescent="0.2">
      <c r="A11" s="239"/>
      <c r="B11" s="239"/>
      <c r="C11" s="239"/>
      <c r="D11" s="83"/>
      <c r="E11" s="83"/>
      <c r="F11" s="83"/>
      <c r="G11" s="83"/>
      <c r="H11" s="17"/>
      <c r="I11" s="17"/>
      <c r="J11" s="17"/>
      <c r="K11" s="17"/>
      <c r="L11" s="17"/>
      <c r="M11" s="17"/>
      <c r="N11" s="17"/>
      <c r="O11" s="17"/>
      <c r="P11" s="17"/>
      <c r="Q11" s="17"/>
      <c r="R11" s="17"/>
      <c r="S11" s="17"/>
      <c r="T11" s="17"/>
      <c r="U11" s="17"/>
    </row>
    <row r="12" spans="1:29" s="78" customFormat="1" ht="18.75" x14ac:dyDescent="0.2">
      <c r="A12" s="240" t="str">
        <f>'1. паспорт местоположение'!$A$12</f>
        <v>L_Che378</v>
      </c>
      <c r="B12" s="240"/>
      <c r="C12" s="240"/>
      <c r="D12" s="18"/>
      <c r="E12" s="18"/>
      <c r="F12" s="18"/>
      <c r="G12" s="18"/>
      <c r="H12" s="17"/>
      <c r="I12" s="17"/>
      <c r="J12" s="17"/>
      <c r="K12" s="17"/>
      <c r="L12" s="17"/>
      <c r="M12" s="17"/>
      <c r="N12" s="17"/>
      <c r="O12" s="17"/>
      <c r="P12" s="17"/>
      <c r="Q12" s="17"/>
      <c r="R12" s="17"/>
      <c r="S12" s="17"/>
      <c r="T12" s="17"/>
      <c r="U12" s="17"/>
    </row>
    <row r="13" spans="1:29" s="78" customFormat="1" ht="18.75" x14ac:dyDescent="0.2">
      <c r="A13" s="245" t="s">
        <v>3</v>
      </c>
      <c r="B13" s="245"/>
      <c r="C13" s="245"/>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3"/>
      <c r="B14" s="273"/>
      <c r="C14" s="273"/>
      <c r="D14" s="1"/>
      <c r="E14" s="1"/>
      <c r="F14" s="1"/>
      <c r="G14" s="1"/>
      <c r="H14" s="1"/>
      <c r="I14" s="1"/>
      <c r="J14" s="1"/>
      <c r="K14" s="1"/>
      <c r="L14" s="1"/>
      <c r="M14" s="1"/>
      <c r="N14" s="1"/>
      <c r="O14" s="1"/>
      <c r="P14" s="1"/>
      <c r="Q14" s="1"/>
      <c r="R14" s="1"/>
      <c r="S14" s="1"/>
      <c r="T14" s="1"/>
      <c r="U14" s="1"/>
    </row>
    <row r="15" spans="1:29" s="25" customFormat="1" ht="87.75" customHeight="1" x14ac:dyDescent="0.2">
      <c r="A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5" s="246"/>
      <c r="C15" s="246"/>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5" t="s">
        <v>2</v>
      </c>
      <c r="B16" s="245"/>
      <c r="C16" s="24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7"/>
      <c r="B17" s="257"/>
      <c r="C17" s="257"/>
      <c r="D17" s="79"/>
      <c r="E17" s="79"/>
      <c r="F17" s="79"/>
      <c r="G17" s="79"/>
      <c r="H17" s="79"/>
      <c r="I17" s="79"/>
      <c r="J17" s="79"/>
      <c r="K17" s="79"/>
      <c r="L17" s="79"/>
      <c r="M17" s="79"/>
      <c r="N17" s="79"/>
      <c r="O17" s="79"/>
      <c r="P17" s="79"/>
      <c r="Q17" s="79"/>
      <c r="R17" s="79"/>
    </row>
    <row r="18" spans="1:21" s="25" customFormat="1" ht="27.75" customHeight="1" x14ac:dyDescent="0.2">
      <c r="A18" s="251" t="s">
        <v>241</v>
      </c>
      <c r="B18" s="251"/>
      <c r="C18" s="251"/>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7" t="s">
        <v>483</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23,19млн.руб./МВА </v>
      </c>
      <c r="E25" s="137" t="str">
        <f>IF(('6.2. Паспорт фин осв ввод'!D56)&gt;0,(ROUND(('6.2. Паспорт фин осв ввод'!D52/'6.2. Паспорт фин осв ввод'!D56),2)&amp;" млн.руб./км"),"-")</f>
        <v>1,12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с</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5" t="str">
        <f>'1. паспорт местоположение'!$A$5</f>
        <v>Год раскрытия информации: 2024 год</v>
      </c>
      <c r="H4" s="235"/>
      <c r="I4" s="235"/>
      <c r="J4" s="235"/>
    </row>
    <row r="5" spans="1:28" s="78" customFormat="1" ht="15.75" x14ac:dyDescent="0.2">
      <c r="G5" s="274"/>
      <c r="H5" s="274"/>
      <c r="I5" s="274"/>
      <c r="J5" s="274"/>
    </row>
    <row r="6" spans="1:28" s="78" customFormat="1" ht="18.75" x14ac:dyDescent="0.2">
      <c r="D6" s="17"/>
      <c r="E6" s="17"/>
      <c r="F6" s="17"/>
      <c r="G6" s="239" t="s">
        <v>5</v>
      </c>
      <c r="H6" s="239"/>
      <c r="I6" s="239"/>
      <c r="J6" s="239"/>
      <c r="K6" s="17"/>
      <c r="L6" s="17"/>
      <c r="M6" s="17"/>
      <c r="N6" s="17"/>
      <c r="O6" s="17"/>
      <c r="P6" s="17"/>
      <c r="Q6" s="17"/>
      <c r="R6" s="17"/>
      <c r="S6" s="17"/>
      <c r="T6" s="17"/>
      <c r="U6" s="17"/>
      <c r="V6" s="17"/>
    </row>
    <row r="7" spans="1:28" s="78" customFormat="1" ht="18.75" x14ac:dyDescent="0.2">
      <c r="D7" s="83"/>
      <c r="E7" s="83"/>
      <c r="F7" s="83"/>
      <c r="G7" s="239"/>
      <c r="H7" s="239"/>
      <c r="I7" s="239"/>
      <c r="J7" s="239"/>
      <c r="K7" s="17"/>
      <c r="L7" s="17"/>
      <c r="M7" s="17"/>
      <c r="N7" s="17"/>
      <c r="O7" s="17"/>
      <c r="P7" s="17"/>
      <c r="Q7" s="17"/>
      <c r="R7" s="17"/>
      <c r="S7" s="17"/>
      <c r="T7" s="17"/>
      <c r="U7" s="17"/>
      <c r="V7" s="17"/>
    </row>
    <row r="8" spans="1:28" s="78" customFormat="1" ht="18.75" x14ac:dyDescent="0.2">
      <c r="D8" s="18"/>
      <c r="E8" s="18"/>
      <c r="F8" s="18"/>
      <c r="G8" s="240" t="s">
        <v>264</v>
      </c>
      <c r="H8" s="240"/>
      <c r="I8" s="240"/>
      <c r="J8" s="240"/>
      <c r="K8" s="17"/>
      <c r="L8" s="17"/>
      <c r="M8" s="17"/>
      <c r="N8" s="17"/>
      <c r="O8" s="17"/>
      <c r="P8" s="17"/>
      <c r="Q8" s="17"/>
      <c r="R8" s="17"/>
      <c r="S8" s="17"/>
      <c r="T8" s="17"/>
      <c r="U8" s="17"/>
      <c r="V8" s="17"/>
    </row>
    <row r="9" spans="1:28" s="78" customFormat="1" ht="18.75" x14ac:dyDescent="0.2">
      <c r="D9" s="15"/>
      <c r="E9" s="15"/>
      <c r="F9" s="15"/>
      <c r="G9" s="245" t="s">
        <v>4</v>
      </c>
      <c r="H9" s="245"/>
      <c r="I9" s="245"/>
      <c r="J9" s="245"/>
      <c r="K9" s="17"/>
      <c r="L9" s="17"/>
      <c r="M9" s="17"/>
      <c r="N9" s="17"/>
      <c r="O9" s="17"/>
      <c r="P9" s="17"/>
      <c r="Q9" s="17"/>
      <c r="R9" s="17"/>
      <c r="S9" s="17"/>
      <c r="T9" s="17"/>
      <c r="U9" s="17"/>
      <c r="V9" s="17"/>
    </row>
    <row r="10" spans="1:28" s="78" customFormat="1" ht="18.75" x14ac:dyDescent="0.2">
      <c r="D10" s="83"/>
      <c r="E10" s="83"/>
      <c r="F10" s="83"/>
      <c r="G10" s="239"/>
      <c r="H10" s="239"/>
      <c r="I10" s="239"/>
      <c r="J10" s="239"/>
      <c r="K10" s="17"/>
      <c r="L10" s="17"/>
      <c r="M10" s="17"/>
      <c r="N10" s="17"/>
      <c r="O10" s="17"/>
      <c r="P10" s="17"/>
      <c r="Q10" s="17"/>
      <c r="R10" s="17"/>
      <c r="S10" s="17"/>
      <c r="T10" s="17"/>
      <c r="U10" s="17"/>
      <c r="V10" s="17"/>
    </row>
    <row r="11" spans="1:28" s="78" customFormat="1" ht="18.75" x14ac:dyDescent="0.2">
      <c r="D11" s="18"/>
      <c r="E11" s="18"/>
      <c r="F11" s="18"/>
      <c r="G11" s="240" t="str">
        <f>'1. паспорт местоположение'!$A$12</f>
        <v>L_Che378</v>
      </c>
      <c r="H11" s="240"/>
      <c r="I11" s="240"/>
      <c r="J11" s="240"/>
      <c r="K11" s="17"/>
      <c r="L11" s="17"/>
      <c r="M11" s="17"/>
      <c r="N11" s="17"/>
      <c r="O11" s="17"/>
      <c r="P11" s="17"/>
      <c r="Q11" s="17"/>
      <c r="R11" s="17"/>
      <c r="S11" s="17"/>
      <c r="T11" s="17"/>
      <c r="U11" s="17"/>
      <c r="V11" s="17"/>
    </row>
    <row r="12" spans="1:28" s="78" customFormat="1" ht="18.75" x14ac:dyDescent="0.2">
      <c r="D12" s="15"/>
      <c r="E12" s="15"/>
      <c r="F12" s="15"/>
      <c r="G12" s="245" t="s">
        <v>3</v>
      </c>
      <c r="H12" s="245"/>
      <c r="I12" s="245"/>
      <c r="J12" s="245"/>
      <c r="K12" s="17"/>
      <c r="L12" s="17"/>
      <c r="M12" s="17"/>
      <c r="N12" s="17"/>
      <c r="O12" s="17"/>
      <c r="P12" s="17"/>
      <c r="Q12" s="17"/>
      <c r="R12" s="17"/>
      <c r="S12" s="17"/>
      <c r="T12" s="17"/>
      <c r="U12" s="17"/>
      <c r="V12" s="17"/>
    </row>
    <row r="13" spans="1:28" s="81" customFormat="1" ht="15.75" customHeight="1" x14ac:dyDescent="0.2">
      <c r="D13" s="1"/>
      <c r="E13" s="1"/>
      <c r="F13" s="1"/>
      <c r="G13" s="273"/>
      <c r="H13" s="273"/>
      <c r="I13" s="273"/>
      <c r="J13" s="273"/>
      <c r="K13" s="1"/>
      <c r="L13" s="1"/>
      <c r="M13" s="1"/>
      <c r="N13" s="1"/>
      <c r="O13" s="1"/>
      <c r="P13" s="1"/>
      <c r="Q13" s="1"/>
      <c r="R13" s="1"/>
      <c r="S13" s="1"/>
      <c r="T13" s="1"/>
      <c r="U13" s="1"/>
      <c r="V13" s="1"/>
    </row>
    <row r="14" spans="1:28" s="25" customFormat="1" ht="112.5" customHeight="1" x14ac:dyDescent="0.2">
      <c r="D14" s="18"/>
      <c r="E14"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F14" s="246"/>
      <c r="G14" s="246"/>
      <c r="H14" s="246"/>
      <c r="I14" s="246"/>
      <c r="J14" s="246"/>
      <c r="K14" s="246"/>
      <c r="L14" s="18"/>
      <c r="M14" s="18"/>
      <c r="N14" s="18"/>
      <c r="O14" s="18"/>
      <c r="P14" s="18"/>
      <c r="Q14" s="18"/>
      <c r="R14" s="18"/>
      <c r="S14" s="18"/>
      <c r="T14" s="18"/>
      <c r="U14" s="18"/>
      <c r="V14" s="18"/>
    </row>
    <row r="15" spans="1:28" s="25" customFormat="1" ht="15" customHeight="1" x14ac:dyDescent="0.2">
      <c r="D15" s="15"/>
      <c r="E15" s="15"/>
      <c r="F15" s="15"/>
      <c r="G15" s="245" t="s">
        <v>2</v>
      </c>
      <c r="H15" s="245"/>
      <c r="I15" s="245"/>
      <c r="J15" s="245"/>
      <c r="K15" s="15"/>
      <c r="L15" s="15"/>
      <c r="M15" s="15"/>
      <c r="N15" s="15"/>
      <c r="O15" s="15"/>
      <c r="P15" s="15"/>
      <c r="Q15" s="15"/>
      <c r="R15" s="15"/>
      <c r="S15" s="15"/>
      <c r="T15" s="15"/>
      <c r="U15" s="15"/>
      <c r="V15" s="1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39"/>
      <c r="AB16" s="39"/>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39"/>
      <c r="AB17" s="39"/>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39"/>
      <c r="AB18" s="39"/>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39"/>
      <c r="AB19" s="39"/>
    </row>
    <row r="20" spans="1:28" x14ac:dyDescent="0.25">
      <c r="A20" s="276" t="s">
        <v>317</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41"/>
      <c r="AB20" s="41"/>
    </row>
    <row r="21" spans="1:28" ht="32.25" customHeight="1" x14ac:dyDescent="0.25">
      <c r="A21" s="277" t="s">
        <v>318</v>
      </c>
      <c r="B21" s="278"/>
      <c r="C21" s="278"/>
      <c r="D21" s="278"/>
      <c r="E21" s="278"/>
      <c r="F21" s="278"/>
      <c r="G21" s="278"/>
      <c r="H21" s="278"/>
      <c r="I21" s="278"/>
      <c r="J21" s="278"/>
      <c r="K21" s="278"/>
      <c r="L21" s="279"/>
      <c r="M21" s="280" t="s">
        <v>319</v>
      </c>
      <c r="N21" s="280"/>
      <c r="O21" s="280"/>
      <c r="P21" s="280"/>
      <c r="Q21" s="280"/>
      <c r="R21" s="280"/>
      <c r="S21" s="280"/>
      <c r="T21" s="280"/>
      <c r="U21" s="280"/>
      <c r="V21" s="280"/>
      <c r="W21" s="280"/>
      <c r="X21" s="280"/>
      <c r="Y21" s="280"/>
      <c r="Z21" s="280"/>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5"/>
      <c r="E3" s="235"/>
      <c r="F3" s="235"/>
      <c r="G3" s="235"/>
      <c r="H3" s="235"/>
      <c r="I3" s="235"/>
      <c r="O3" s="14" t="s">
        <v>21</v>
      </c>
    </row>
    <row r="4" spans="1:22" s="78" customFormat="1" ht="18.75" x14ac:dyDescent="0.3">
      <c r="A4" s="13"/>
      <c r="B4" s="13"/>
      <c r="D4" s="285"/>
      <c r="E4" s="285"/>
      <c r="F4" s="285"/>
      <c r="G4" s="285"/>
      <c r="H4" s="285"/>
      <c r="I4" s="285"/>
      <c r="L4" s="14"/>
    </row>
    <row r="5" spans="1:22" s="78" customFormat="1" ht="15.75" x14ac:dyDescent="0.25">
      <c r="D5" s="235" t="str">
        <f>'1. паспорт местоположение'!$A$5</f>
        <v>Год раскрытия информации: 2024 год</v>
      </c>
      <c r="E5" s="235"/>
      <c r="F5" s="235"/>
      <c r="G5" s="235"/>
      <c r="H5" s="235"/>
      <c r="I5" s="235"/>
      <c r="J5" s="12"/>
    </row>
    <row r="6" spans="1:22" s="78" customFormat="1" ht="15.75" customHeight="1" x14ac:dyDescent="0.2">
      <c r="D6" s="254"/>
      <c r="E6" s="254"/>
      <c r="F6" s="254"/>
      <c r="G6" s="254"/>
      <c r="H6" s="254"/>
      <c r="I6" s="254"/>
    </row>
    <row r="7" spans="1:22" s="78" customFormat="1" ht="18.75" x14ac:dyDescent="0.2">
      <c r="D7" s="239" t="s">
        <v>5</v>
      </c>
      <c r="E7" s="239"/>
      <c r="F7" s="239"/>
      <c r="G7" s="239"/>
      <c r="H7" s="239"/>
      <c r="I7" s="239"/>
      <c r="J7" s="17"/>
      <c r="K7" s="17"/>
      <c r="L7" s="17"/>
      <c r="M7" s="17"/>
      <c r="N7" s="17"/>
      <c r="O7" s="17"/>
      <c r="P7" s="17"/>
      <c r="Q7" s="17"/>
      <c r="R7" s="17"/>
      <c r="S7" s="17"/>
      <c r="T7" s="17"/>
      <c r="U7" s="17"/>
      <c r="V7" s="17"/>
    </row>
    <row r="8" spans="1:22" s="78" customFormat="1" ht="18.75" x14ac:dyDescent="0.2">
      <c r="D8" s="239"/>
      <c r="E8" s="239"/>
      <c r="F8" s="239"/>
      <c r="G8" s="239"/>
      <c r="H8" s="239"/>
      <c r="I8" s="239"/>
      <c r="J8" s="17"/>
      <c r="K8" s="17"/>
      <c r="L8" s="17"/>
      <c r="M8" s="17"/>
      <c r="N8" s="17"/>
      <c r="O8" s="17"/>
      <c r="P8" s="17"/>
      <c r="Q8" s="17"/>
      <c r="R8" s="17"/>
      <c r="S8" s="17"/>
      <c r="T8" s="17"/>
      <c r="U8" s="17"/>
      <c r="V8" s="17"/>
    </row>
    <row r="9" spans="1:22" s="78" customFormat="1" ht="18.75" x14ac:dyDescent="0.2">
      <c r="D9" s="240" t="s">
        <v>264</v>
      </c>
      <c r="E9" s="240"/>
      <c r="F9" s="240"/>
      <c r="G9" s="240"/>
      <c r="H9" s="240"/>
      <c r="I9" s="240"/>
      <c r="J9" s="17"/>
      <c r="K9" s="17"/>
      <c r="L9" s="17"/>
      <c r="M9" s="17"/>
      <c r="N9" s="17"/>
      <c r="O9" s="17"/>
      <c r="P9" s="17"/>
      <c r="Q9" s="17"/>
      <c r="R9" s="17"/>
      <c r="S9" s="17"/>
      <c r="T9" s="17"/>
      <c r="U9" s="17"/>
      <c r="V9" s="17"/>
    </row>
    <row r="10" spans="1:22" s="78" customFormat="1" ht="18.75" x14ac:dyDescent="0.2">
      <c r="D10" s="245" t="s">
        <v>4</v>
      </c>
      <c r="E10" s="245"/>
      <c r="F10" s="245"/>
      <c r="G10" s="245"/>
      <c r="H10" s="245"/>
      <c r="I10" s="245"/>
      <c r="J10" s="17"/>
      <c r="K10" s="17"/>
      <c r="L10" s="17"/>
      <c r="M10" s="17"/>
      <c r="N10" s="17"/>
      <c r="O10" s="17"/>
      <c r="P10" s="17"/>
      <c r="Q10" s="17"/>
      <c r="R10" s="17"/>
      <c r="S10" s="17"/>
      <c r="T10" s="17"/>
      <c r="U10" s="17"/>
      <c r="V10" s="17"/>
    </row>
    <row r="11" spans="1:22" s="78" customFormat="1" ht="18.75" x14ac:dyDescent="0.2">
      <c r="D11" s="239"/>
      <c r="E11" s="239"/>
      <c r="F11" s="239"/>
      <c r="G11" s="239"/>
      <c r="H11" s="239"/>
      <c r="I11" s="239"/>
      <c r="J11" s="17"/>
      <c r="K11" s="17"/>
      <c r="L11" s="17"/>
      <c r="M11" s="17"/>
      <c r="N11" s="17"/>
      <c r="O11" s="17"/>
      <c r="P11" s="17"/>
      <c r="Q11" s="17"/>
      <c r="R11" s="17"/>
      <c r="S11" s="17"/>
      <c r="T11" s="17"/>
      <c r="U11" s="17"/>
      <c r="V11" s="17"/>
    </row>
    <row r="12" spans="1:22" s="78" customFormat="1" ht="18.75" x14ac:dyDescent="0.2">
      <c r="D12" s="240" t="str">
        <f>'1. паспорт местоположение'!$A$12</f>
        <v>L_Che378</v>
      </c>
      <c r="E12" s="240"/>
      <c r="F12" s="240"/>
      <c r="G12" s="240"/>
      <c r="H12" s="240"/>
      <c r="I12" s="240"/>
      <c r="J12" s="17"/>
      <c r="K12" s="17"/>
      <c r="L12" s="17"/>
      <c r="M12" s="17"/>
      <c r="N12" s="17"/>
      <c r="O12" s="17"/>
      <c r="P12" s="17"/>
      <c r="Q12" s="17"/>
      <c r="R12" s="17"/>
      <c r="S12" s="17"/>
      <c r="T12" s="17"/>
      <c r="U12" s="17"/>
      <c r="V12" s="17"/>
    </row>
    <row r="13" spans="1:22" s="78" customFormat="1" ht="18.75" x14ac:dyDescent="0.2">
      <c r="D13" s="245" t="s">
        <v>3</v>
      </c>
      <c r="E13" s="245"/>
      <c r="F13" s="245"/>
      <c r="G13" s="245"/>
      <c r="H13" s="245"/>
      <c r="I13" s="245"/>
      <c r="J13" s="17"/>
      <c r="K13" s="17"/>
      <c r="L13" s="17"/>
      <c r="M13" s="17"/>
      <c r="N13" s="17"/>
      <c r="O13" s="17"/>
      <c r="P13" s="17"/>
      <c r="Q13" s="17"/>
      <c r="R13" s="17"/>
      <c r="S13" s="17"/>
      <c r="T13" s="17"/>
      <c r="U13" s="17"/>
      <c r="V13" s="17"/>
    </row>
    <row r="14" spans="1:22" s="81" customFormat="1" ht="15.75" customHeight="1" x14ac:dyDescent="0.2">
      <c r="D14" s="273"/>
      <c r="E14" s="273"/>
      <c r="F14" s="273"/>
      <c r="G14" s="273"/>
      <c r="H14" s="273"/>
      <c r="I14" s="273"/>
      <c r="J14" s="1"/>
      <c r="K14" s="1"/>
      <c r="L14" s="1"/>
      <c r="M14" s="1"/>
      <c r="N14" s="1"/>
      <c r="O14" s="1"/>
      <c r="P14" s="1"/>
      <c r="Q14" s="1"/>
      <c r="R14" s="1"/>
      <c r="S14" s="1"/>
      <c r="T14" s="1"/>
      <c r="U14" s="1"/>
      <c r="V14" s="1"/>
    </row>
    <row r="15" spans="1:22" s="25" customFormat="1" ht="100.5" customHeight="1" x14ac:dyDescent="0.25">
      <c r="C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D15" s="284"/>
      <c r="E15" s="284"/>
      <c r="F15" s="284"/>
      <c r="G15" s="284"/>
      <c r="H15" s="284"/>
      <c r="I15" s="284"/>
      <c r="J15" s="284"/>
      <c r="K15" s="284"/>
      <c r="L15" s="284"/>
      <c r="M15" s="284"/>
      <c r="N15" s="18"/>
      <c r="O15" s="18"/>
      <c r="P15" s="18"/>
      <c r="Q15" s="18"/>
      <c r="R15" s="18"/>
      <c r="S15" s="18"/>
      <c r="T15" s="18"/>
      <c r="U15" s="18"/>
      <c r="V15" s="18"/>
    </row>
    <row r="16" spans="1:22" s="25" customFormat="1" ht="15" customHeight="1" x14ac:dyDescent="0.2">
      <c r="D16" s="245" t="s">
        <v>2</v>
      </c>
      <c r="E16" s="245"/>
      <c r="F16" s="245"/>
      <c r="G16" s="245"/>
      <c r="H16" s="245"/>
      <c r="I16" s="245"/>
      <c r="J16" s="15"/>
      <c r="K16" s="15"/>
      <c r="L16" s="15"/>
      <c r="M16" s="15"/>
      <c r="N16" s="15"/>
      <c r="O16" s="15"/>
      <c r="P16" s="15"/>
      <c r="Q16" s="15"/>
      <c r="R16" s="15"/>
      <c r="S16" s="15"/>
      <c r="T16" s="15"/>
      <c r="U16" s="15"/>
      <c r="V16" s="15"/>
    </row>
    <row r="17" spans="1:26" s="78" customFormat="1" ht="18.75" x14ac:dyDescent="0.2">
      <c r="A17" s="82"/>
      <c r="B17" s="82"/>
      <c r="C17" s="82"/>
      <c r="D17" s="240"/>
      <c r="E17" s="240"/>
      <c r="F17" s="240"/>
      <c r="G17" s="240"/>
      <c r="H17" s="240"/>
      <c r="I17" s="240"/>
      <c r="J17" s="82"/>
      <c r="K17" s="82"/>
      <c r="L17" s="82"/>
      <c r="M17" s="82"/>
      <c r="N17" s="82"/>
      <c r="O17" s="82"/>
      <c r="P17" s="17"/>
      <c r="Q17" s="17"/>
      <c r="R17" s="17"/>
      <c r="S17" s="17"/>
      <c r="T17" s="17"/>
      <c r="U17" s="17"/>
      <c r="V17" s="17"/>
      <c r="W17" s="17"/>
      <c r="X17" s="17"/>
      <c r="Y17" s="17"/>
      <c r="Z17" s="17"/>
    </row>
    <row r="18" spans="1:26" s="25" customFormat="1" ht="91.5" customHeight="1" x14ac:dyDescent="0.2">
      <c r="A18" s="286" t="s">
        <v>373</v>
      </c>
      <c r="B18" s="286"/>
      <c r="C18" s="286"/>
      <c r="D18" s="286"/>
      <c r="E18" s="286"/>
      <c r="F18" s="286"/>
      <c r="G18" s="286"/>
      <c r="H18" s="286"/>
      <c r="I18" s="286"/>
      <c r="J18" s="286"/>
      <c r="K18" s="286"/>
      <c r="L18" s="286"/>
      <c r="M18" s="286"/>
      <c r="N18" s="286"/>
      <c r="O18" s="286"/>
      <c r="P18" s="114"/>
      <c r="Q18" s="114"/>
      <c r="R18" s="114"/>
      <c r="S18" s="114"/>
      <c r="T18" s="114"/>
      <c r="U18" s="114"/>
      <c r="V18" s="114"/>
      <c r="W18" s="114"/>
      <c r="X18" s="114"/>
      <c r="Y18" s="114"/>
      <c r="Z18" s="114"/>
    </row>
    <row r="19" spans="1:26" s="25" customFormat="1" ht="78" customHeight="1" x14ac:dyDescent="0.2">
      <c r="A19" s="247" t="s">
        <v>1</v>
      </c>
      <c r="B19" s="247" t="s">
        <v>374</v>
      </c>
      <c r="C19" s="247" t="s">
        <v>375</v>
      </c>
      <c r="D19" s="247" t="s">
        <v>376</v>
      </c>
      <c r="E19" s="281" t="s">
        <v>377</v>
      </c>
      <c r="F19" s="282"/>
      <c r="G19" s="282"/>
      <c r="H19" s="282"/>
      <c r="I19" s="283"/>
      <c r="J19" s="247" t="s">
        <v>378</v>
      </c>
      <c r="K19" s="247"/>
      <c r="L19" s="247"/>
      <c r="M19" s="247"/>
      <c r="N19" s="247"/>
      <c r="O19" s="247"/>
      <c r="P19" s="79"/>
      <c r="Q19" s="79"/>
      <c r="R19" s="79"/>
      <c r="S19" s="79"/>
      <c r="T19" s="79"/>
      <c r="U19" s="79"/>
      <c r="V19" s="79"/>
      <c r="W19" s="79"/>
    </row>
    <row r="20" spans="1:26" s="25" customFormat="1" ht="51" customHeight="1" x14ac:dyDescent="0.2">
      <c r="A20" s="247"/>
      <c r="B20" s="247"/>
      <c r="C20" s="247"/>
      <c r="D20" s="247"/>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5" t="str">
        <f>'1. паспорт местоположение'!$A$5</f>
        <v>Год раскрытия информации: 2024 год</v>
      </c>
      <c r="B5" s="235"/>
      <c r="C5" s="235"/>
      <c r="D5" s="235"/>
      <c r="E5" s="235"/>
      <c r="F5" s="235"/>
    </row>
    <row r="6" spans="1:6" ht="15.75" x14ac:dyDescent="0.25">
      <c r="A6" s="20"/>
      <c r="B6" s="21"/>
      <c r="C6" s="21"/>
      <c r="D6" s="21"/>
      <c r="E6" s="21"/>
      <c r="F6" s="21"/>
    </row>
    <row r="7" spans="1:6" ht="18.75" x14ac:dyDescent="0.25">
      <c r="A7" s="239" t="s">
        <v>5</v>
      </c>
      <c r="B7" s="239"/>
      <c r="C7" s="239"/>
      <c r="D7" s="239"/>
      <c r="E7" s="239"/>
      <c r="F7" s="239"/>
    </row>
    <row r="8" spans="1:6" ht="18.75" x14ac:dyDescent="0.25">
      <c r="A8" s="83"/>
      <c r="B8" s="83"/>
      <c r="C8" s="83"/>
      <c r="D8" s="83"/>
      <c r="E8" s="83"/>
      <c r="F8" s="83"/>
    </row>
    <row r="9" spans="1:6" ht="15.75" x14ac:dyDescent="0.25">
      <c r="A9" s="240" t="s">
        <v>264</v>
      </c>
      <c r="B9" s="240"/>
      <c r="C9" s="240"/>
      <c r="D9" s="240"/>
      <c r="E9" s="240"/>
      <c r="F9" s="240"/>
    </row>
    <row r="10" spans="1:6" ht="15.75" x14ac:dyDescent="0.25">
      <c r="A10" s="245" t="s">
        <v>4</v>
      </c>
      <c r="B10" s="245"/>
      <c r="C10" s="245"/>
      <c r="D10" s="245"/>
      <c r="E10" s="245"/>
      <c r="F10" s="245"/>
    </row>
    <row r="11" spans="1:6" ht="18.75" x14ac:dyDescent="0.25">
      <c r="A11" s="83"/>
      <c r="B11" s="83"/>
      <c r="C11" s="83"/>
      <c r="D11" s="83"/>
      <c r="E11" s="83"/>
      <c r="F11" s="83"/>
    </row>
    <row r="12" spans="1:6" ht="15.75" x14ac:dyDescent="0.25">
      <c r="A12" s="240" t="str">
        <f>'1. паспорт местоположение'!$A$12</f>
        <v>L_Che378</v>
      </c>
      <c r="B12" s="240"/>
      <c r="C12" s="240"/>
      <c r="D12" s="240"/>
      <c r="E12" s="240"/>
      <c r="F12" s="240"/>
    </row>
    <row r="13" spans="1:6" ht="15.75" x14ac:dyDescent="0.25">
      <c r="A13" s="245" t="s">
        <v>3</v>
      </c>
      <c r="B13" s="245"/>
      <c r="C13" s="245"/>
      <c r="D13" s="245"/>
      <c r="E13" s="245"/>
      <c r="F13" s="245"/>
    </row>
    <row r="14" spans="1:6" ht="18.75" x14ac:dyDescent="0.25">
      <c r="A14" s="1"/>
      <c r="B14" s="1"/>
      <c r="C14" s="1"/>
      <c r="D14" s="1"/>
      <c r="E14" s="1"/>
      <c r="F14" s="1"/>
    </row>
    <row r="15" spans="1:6" ht="53.25" customHeight="1" x14ac:dyDescent="0.25">
      <c r="A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5" s="246"/>
      <c r="C15" s="246"/>
      <c r="D15" s="246"/>
      <c r="E15" s="246"/>
      <c r="F15" s="246"/>
    </row>
    <row r="16" spans="1:6" ht="15.75" x14ac:dyDescent="0.25">
      <c r="A16" s="245" t="s">
        <v>2</v>
      </c>
      <c r="B16" s="245"/>
      <c r="C16" s="245"/>
      <c r="D16" s="245"/>
      <c r="E16" s="245"/>
      <c r="F16" s="245"/>
    </row>
    <row r="17" spans="1:6" ht="18.75" x14ac:dyDescent="0.25">
      <c r="A17" s="79"/>
      <c r="B17" s="79"/>
      <c r="C17" s="79"/>
      <c r="D17" s="79"/>
      <c r="E17" s="79"/>
      <c r="F17" s="79"/>
    </row>
    <row r="18" spans="1:6" ht="18.75" x14ac:dyDescent="0.25">
      <c r="A18" s="258" t="s">
        <v>267</v>
      </c>
      <c r="B18" s="258"/>
      <c r="C18" s="258"/>
      <c r="D18" s="258"/>
      <c r="E18" s="258"/>
      <c r="F18" s="25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1" t="s">
        <v>462</v>
      </c>
      <c r="C21" s="292"/>
      <c r="D21" s="292"/>
      <c r="E21" s="293"/>
      <c r="F21" s="22"/>
    </row>
    <row r="22" spans="1:6" ht="15.75" x14ac:dyDescent="0.25">
      <c r="A22" s="22"/>
      <c r="B22" s="288" t="s">
        <v>268</v>
      </c>
      <c r="C22" s="289"/>
      <c r="D22" s="289" t="s">
        <v>269</v>
      </c>
      <c r="E22" s="290"/>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87"/>
      <c r="C26" s="287"/>
      <c r="D26" s="287"/>
      <c r="E26" s="287"/>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3" zoomScale="70" zoomScaleNormal="100" zoomScaleSheetLayoutView="70" workbookViewId="0">
      <selection activeCell="G88" sqref="G88"/>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5" t="str">
        <f>'1. паспорт местоположение'!$A$5</f>
        <v>Год раскрытия информации: 2024 год</v>
      </c>
      <c r="B5" s="235"/>
      <c r="C5" s="235"/>
      <c r="D5" s="235"/>
      <c r="E5" s="235"/>
      <c r="F5" s="235"/>
      <c r="G5" s="235"/>
      <c r="H5" s="235"/>
      <c r="I5" s="235"/>
      <c r="J5" s="235"/>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9" t="s">
        <v>5</v>
      </c>
      <c r="B7" s="239"/>
      <c r="C7" s="239"/>
      <c r="D7" s="239"/>
      <c r="E7" s="239"/>
      <c r="F7" s="239"/>
      <c r="G7" s="239"/>
      <c r="H7" s="239"/>
      <c r="I7" s="239"/>
      <c r="J7" s="239"/>
    </row>
    <row r="8" spans="1:42" ht="18.75" x14ac:dyDescent="0.25">
      <c r="A8" s="239"/>
      <c r="B8" s="239"/>
      <c r="C8" s="239"/>
      <c r="D8" s="239"/>
      <c r="E8" s="239"/>
      <c r="F8" s="239"/>
      <c r="G8" s="239"/>
      <c r="H8" s="239"/>
      <c r="I8" s="239"/>
      <c r="J8" s="239"/>
    </row>
    <row r="9" spans="1:42" x14ac:dyDescent="0.25">
      <c r="A9" s="240" t="s">
        <v>264</v>
      </c>
      <c r="B9" s="240"/>
      <c r="C9" s="240"/>
      <c r="D9" s="240"/>
      <c r="E9" s="240"/>
      <c r="F9" s="240"/>
      <c r="G9" s="240"/>
      <c r="H9" s="240"/>
      <c r="I9" s="240"/>
      <c r="J9" s="240"/>
    </row>
    <row r="10" spans="1:42" x14ac:dyDescent="0.25">
      <c r="A10" s="245" t="s">
        <v>4</v>
      </c>
      <c r="B10" s="245"/>
      <c r="C10" s="245"/>
      <c r="D10" s="245"/>
      <c r="E10" s="245"/>
      <c r="F10" s="245"/>
      <c r="G10" s="245"/>
      <c r="H10" s="245"/>
      <c r="I10" s="245"/>
      <c r="J10" s="245"/>
    </row>
    <row r="11" spans="1:42" ht="18.75" x14ac:dyDescent="0.25">
      <c r="A11" s="239"/>
      <c r="B11" s="239"/>
      <c r="C11" s="239"/>
      <c r="D11" s="239"/>
      <c r="E11" s="239"/>
      <c r="F11" s="239"/>
      <c r="G11" s="239"/>
      <c r="H11" s="239"/>
      <c r="I11" s="239"/>
      <c r="J11" s="239"/>
    </row>
    <row r="12" spans="1:42" x14ac:dyDescent="0.25">
      <c r="A12" s="240" t="str">
        <f>'1. паспорт местоположение'!$A$12</f>
        <v>L_Che378</v>
      </c>
      <c r="B12" s="240"/>
      <c r="C12" s="240"/>
      <c r="D12" s="240"/>
      <c r="E12" s="240"/>
      <c r="F12" s="240"/>
      <c r="G12" s="240"/>
      <c r="H12" s="240"/>
      <c r="I12" s="240"/>
      <c r="J12" s="240"/>
    </row>
    <row r="13" spans="1:42" x14ac:dyDescent="0.25">
      <c r="A13" s="245" t="s">
        <v>3</v>
      </c>
      <c r="B13" s="245"/>
      <c r="C13" s="245"/>
      <c r="D13" s="245"/>
      <c r="E13" s="245"/>
      <c r="F13" s="245"/>
      <c r="G13" s="245"/>
      <c r="H13" s="245"/>
      <c r="I13" s="245"/>
      <c r="J13" s="245"/>
    </row>
    <row r="14" spans="1:42" ht="18.75" x14ac:dyDescent="0.25">
      <c r="A14" s="273"/>
      <c r="B14" s="273"/>
      <c r="C14" s="273"/>
      <c r="D14" s="273"/>
      <c r="E14" s="273"/>
      <c r="F14" s="273"/>
      <c r="G14" s="273"/>
      <c r="H14" s="273"/>
      <c r="I14" s="273"/>
      <c r="J14" s="273"/>
    </row>
    <row r="15" spans="1:42" ht="66.75" customHeight="1" x14ac:dyDescent="0.25">
      <c r="A15" s="246" t="str">
        <f>'1. паспорт местоположение'!$A$15</f>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
      <c r="B15" s="246"/>
      <c r="C15" s="246"/>
      <c r="D15" s="246"/>
      <c r="E15" s="246"/>
      <c r="F15" s="246"/>
      <c r="G15" s="246"/>
      <c r="H15" s="246"/>
      <c r="I15" s="246"/>
      <c r="J15" s="246"/>
    </row>
    <row r="16" spans="1:42" x14ac:dyDescent="0.25">
      <c r="A16" s="245" t="s">
        <v>2</v>
      </c>
      <c r="B16" s="245"/>
      <c r="C16" s="245"/>
      <c r="D16" s="245"/>
      <c r="E16" s="245"/>
      <c r="F16" s="245"/>
      <c r="G16" s="245"/>
      <c r="H16" s="245"/>
      <c r="I16" s="245"/>
      <c r="J16" s="245"/>
    </row>
    <row r="17" spans="1:10" ht="15.75" customHeight="1" x14ac:dyDescent="0.25">
      <c r="J17" s="98"/>
    </row>
    <row r="18" spans="1:10" x14ac:dyDescent="0.25">
      <c r="I18" s="87"/>
    </row>
    <row r="19" spans="1:10" ht="15.75" customHeight="1" x14ac:dyDescent="0.25">
      <c r="A19" s="302" t="s">
        <v>245</v>
      </c>
      <c r="B19" s="302"/>
      <c r="C19" s="302"/>
      <c r="D19" s="302"/>
      <c r="E19" s="302"/>
      <c r="F19" s="302"/>
      <c r="G19" s="302"/>
      <c r="H19" s="302"/>
      <c r="I19" s="302"/>
      <c r="J19" s="302"/>
    </row>
    <row r="20" spans="1:10" x14ac:dyDescent="0.25">
      <c r="A20" s="85"/>
      <c r="B20" s="85"/>
      <c r="C20" s="60"/>
      <c r="D20" s="60"/>
      <c r="E20" s="60"/>
      <c r="F20" s="60"/>
      <c r="G20" s="99"/>
      <c r="H20" s="99"/>
      <c r="I20" s="60"/>
      <c r="J20" s="60"/>
    </row>
    <row r="21" spans="1:10" ht="28.5" customHeight="1" x14ac:dyDescent="0.25">
      <c r="A21" s="294" t="s">
        <v>134</v>
      </c>
      <c r="B21" s="294" t="s">
        <v>133</v>
      </c>
      <c r="C21" s="303" t="s">
        <v>194</v>
      </c>
      <c r="D21" s="303"/>
      <c r="E21" s="303"/>
      <c r="F21" s="303"/>
      <c r="G21" s="300" t="s">
        <v>132</v>
      </c>
      <c r="H21" s="297" t="s">
        <v>196</v>
      </c>
      <c r="I21" s="294" t="s">
        <v>131</v>
      </c>
      <c r="J21" s="304" t="s">
        <v>195</v>
      </c>
    </row>
    <row r="22" spans="1:10" ht="58.5" customHeight="1" x14ac:dyDescent="0.25">
      <c r="A22" s="294"/>
      <c r="B22" s="294"/>
      <c r="C22" s="301" t="s">
        <v>0</v>
      </c>
      <c r="D22" s="301"/>
      <c r="E22" s="295" t="str">
        <f>'6.2. Паспорт фин осв ввод'!D22</f>
        <v>Факт</v>
      </c>
      <c r="F22" s="296"/>
      <c r="G22" s="300"/>
      <c r="H22" s="298"/>
      <c r="I22" s="294"/>
      <c r="J22" s="304"/>
    </row>
    <row r="23" spans="1:10" ht="31.5" x14ac:dyDescent="0.25">
      <c r="A23" s="294"/>
      <c r="B23" s="294"/>
      <c r="C23" s="100" t="s">
        <v>130</v>
      </c>
      <c r="D23" s="100" t="s">
        <v>129</v>
      </c>
      <c r="E23" s="100" t="s">
        <v>130</v>
      </c>
      <c r="F23" s="100" t="s">
        <v>129</v>
      </c>
      <c r="G23" s="300"/>
      <c r="H23" s="299"/>
      <c r="I23" s="294"/>
      <c r="J23" s="304"/>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5"/>
      <c r="D25" s="225"/>
      <c r="E25" s="225"/>
      <c r="F25" s="225"/>
      <c r="G25" s="226"/>
      <c r="H25" s="159"/>
      <c r="I25" s="103"/>
      <c r="J25" s="43"/>
    </row>
    <row r="26" spans="1:10" ht="21.75" customHeight="1" x14ac:dyDescent="0.25">
      <c r="A26" s="100" t="s">
        <v>127</v>
      </c>
      <c r="B26" s="104" t="s">
        <v>198</v>
      </c>
      <c r="C26" s="227" t="s">
        <v>265</v>
      </c>
      <c r="D26" s="227" t="s">
        <v>265</v>
      </c>
      <c r="E26" s="227" t="s">
        <v>265</v>
      </c>
      <c r="F26" s="227" t="s">
        <v>265</v>
      </c>
      <c r="G26" s="226"/>
      <c r="H26" s="55" t="s">
        <v>294</v>
      </c>
      <c r="I26" s="103"/>
      <c r="J26" s="103"/>
    </row>
    <row r="27" spans="1:10" s="58" customFormat="1" ht="39" customHeight="1" x14ac:dyDescent="0.25">
      <c r="A27" s="100" t="s">
        <v>126</v>
      </c>
      <c r="B27" s="104" t="s">
        <v>200</v>
      </c>
      <c r="C27" s="227" t="s">
        <v>265</v>
      </c>
      <c r="D27" s="227" t="s">
        <v>265</v>
      </c>
      <c r="E27" s="227" t="s">
        <v>265</v>
      </c>
      <c r="F27" s="227" t="s">
        <v>265</v>
      </c>
      <c r="G27" s="226"/>
      <c r="H27" s="55" t="s">
        <v>294</v>
      </c>
      <c r="I27" s="103"/>
      <c r="J27" s="103"/>
    </row>
    <row r="28" spans="1:10" s="58" customFormat="1" ht="56.25" customHeight="1" x14ac:dyDescent="0.25">
      <c r="A28" s="100" t="s">
        <v>199</v>
      </c>
      <c r="B28" s="104" t="s">
        <v>204</v>
      </c>
      <c r="C28" s="227" t="s">
        <v>265</v>
      </c>
      <c r="D28" s="227" t="s">
        <v>265</v>
      </c>
      <c r="E28" s="227" t="s">
        <v>265</v>
      </c>
      <c r="F28" s="227" t="s">
        <v>265</v>
      </c>
      <c r="G28" s="226"/>
      <c r="H28" s="55" t="s">
        <v>294</v>
      </c>
      <c r="I28" s="103"/>
      <c r="J28" s="103"/>
    </row>
    <row r="29" spans="1:10" s="58" customFormat="1" ht="32.25" customHeight="1" x14ac:dyDescent="0.25">
      <c r="A29" s="100" t="s">
        <v>125</v>
      </c>
      <c r="B29" s="104" t="s">
        <v>203</v>
      </c>
      <c r="C29" s="227" t="s">
        <v>265</v>
      </c>
      <c r="D29" s="227" t="s">
        <v>265</v>
      </c>
      <c r="E29" s="227" t="s">
        <v>265</v>
      </c>
      <c r="F29" s="227" t="s">
        <v>265</v>
      </c>
      <c r="G29" s="226"/>
      <c r="H29" s="55" t="s">
        <v>294</v>
      </c>
      <c r="I29" s="103"/>
      <c r="J29" s="103"/>
    </row>
    <row r="30" spans="1:10" s="58" customFormat="1" ht="42" customHeight="1" x14ac:dyDescent="0.25">
      <c r="A30" s="100" t="s">
        <v>124</v>
      </c>
      <c r="B30" s="104" t="s">
        <v>205</v>
      </c>
      <c r="C30" s="227" t="s">
        <v>265</v>
      </c>
      <c r="D30" s="227" t="s">
        <v>265</v>
      </c>
      <c r="E30" s="227" t="s">
        <v>265</v>
      </c>
      <c r="F30" s="227" t="s">
        <v>265</v>
      </c>
      <c r="G30" s="226"/>
      <c r="H30" s="55" t="s">
        <v>294</v>
      </c>
      <c r="I30" s="103"/>
      <c r="J30" s="103"/>
    </row>
    <row r="31" spans="1:10" s="58" customFormat="1" ht="37.5" customHeight="1" x14ac:dyDescent="0.25">
      <c r="A31" s="100" t="s">
        <v>123</v>
      </c>
      <c r="B31" s="105" t="s">
        <v>201</v>
      </c>
      <c r="C31" s="228">
        <v>43329</v>
      </c>
      <c r="D31" s="228">
        <v>43329</v>
      </c>
      <c r="E31" s="228">
        <v>43329</v>
      </c>
      <c r="F31" s="228">
        <v>43329</v>
      </c>
      <c r="G31" s="226">
        <v>1</v>
      </c>
      <c r="H31" s="55" t="s">
        <v>294</v>
      </c>
      <c r="I31" s="103"/>
      <c r="J31" s="103"/>
    </row>
    <row r="32" spans="1:10" s="58" customFormat="1" ht="31.5" x14ac:dyDescent="0.25">
      <c r="A32" s="100" t="s">
        <v>121</v>
      </c>
      <c r="B32" s="105" t="s">
        <v>206</v>
      </c>
      <c r="C32" s="228">
        <v>43584</v>
      </c>
      <c r="D32" s="228">
        <v>43584</v>
      </c>
      <c r="E32" s="228">
        <v>43584</v>
      </c>
      <c r="F32" s="228">
        <v>43584</v>
      </c>
      <c r="G32" s="226">
        <v>1</v>
      </c>
      <c r="H32" s="55" t="s">
        <v>294</v>
      </c>
      <c r="I32" s="103"/>
      <c r="J32" s="103"/>
    </row>
    <row r="33" spans="1:10" s="58" customFormat="1" ht="37.5" customHeight="1" x14ac:dyDescent="0.25">
      <c r="A33" s="100" t="s">
        <v>217</v>
      </c>
      <c r="B33" s="105" t="s">
        <v>147</v>
      </c>
      <c r="C33" s="228">
        <v>43803</v>
      </c>
      <c r="D33" s="228">
        <v>43803</v>
      </c>
      <c r="E33" s="228">
        <v>43803</v>
      </c>
      <c r="F33" s="228">
        <v>43803</v>
      </c>
      <c r="G33" s="226">
        <v>1</v>
      </c>
      <c r="H33" s="55" t="s">
        <v>294</v>
      </c>
      <c r="I33" s="103"/>
      <c r="J33" s="103"/>
    </row>
    <row r="34" spans="1:10" s="58" customFormat="1" ht="47.25" customHeight="1" x14ac:dyDescent="0.25">
      <c r="A34" s="100" t="s">
        <v>218</v>
      </c>
      <c r="B34" s="105" t="s">
        <v>210</v>
      </c>
      <c r="C34" s="227" t="s">
        <v>265</v>
      </c>
      <c r="D34" s="227" t="s">
        <v>265</v>
      </c>
      <c r="E34" s="227" t="s">
        <v>265</v>
      </c>
      <c r="F34" s="227" t="s">
        <v>265</v>
      </c>
      <c r="G34" s="226"/>
      <c r="H34" s="55" t="s">
        <v>294</v>
      </c>
      <c r="I34" s="106"/>
      <c r="J34" s="103"/>
    </row>
    <row r="35" spans="1:10" s="58" customFormat="1" ht="30" customHeight="1" x14ac:dyDescent="0.25">
      <c r="A35" s="100" t="s">
        <v>219</v>
      </c>
      <c r="B35" s="105" t="s">
        <v>122</v>
      </c>
      <c r="C35" s="228">
        <v>43914</v>
      </c>
      <c r="D35" s="228">
        <v>43914</v>
      </c>
      <c r="E35" s="228">
        <v>43914</v>
      </c>
      <c r="F35" s="228">
        <v>43914</v>
      </c>
      <c r="G35" s="226">
        <v>1</v>
      </c>
      <c r="H35" s="55" t="s">
        <v>294</v>
      </c>
      <c r="I35" s="106"/>
      <c r="J35" s="103"/>
    </row>
    <row r="36" spans="1:10" ht="37.5" customHeight="1" x14ac:dyDescent="0.25">
      <c r="A36" s="100" t="s">
        <v>220</v>
      </c>
      <c r="B36" s="105" t="s">
        <v>202</v>
      </c>
      <c r="C36" s="227" t="s">
        <v>265</v>
      </c>
      <c r="D36" s="227" t="s">
        <v>265</v>
      </c>
      <c r="E36" s="227" t="s">
        <v>265</v>
      </c>
      <c r="F36" s="227" t="s">
        <v>265</v>
      </c>
      <c r="G36" s="226"/>
      <c r="H36" s="55" t="s">
        <v>294</v>
      </c>
      <c r="I36" s="103"/>
      <c r="J36" s="103"/>
    </row>
    <row r="37" spans="1:10" ht="20.25" customHeight="1" x14ac:dyDescent="0.25">
      <c r="A37" s="100" t="s">
        <v>221</v>
      </c>
      <c r="B37" s="105" t="s">
        <v>120</v>
      </c>
      <c r="C37" s="228">
        <v>43329</v>
      </c>
      <c r="D37" s="228">
        <v>43584</v>
      </c>
      <c r="E37" s="228">
        <v>43329</v>
      </c>
      <c r="F37" s="228">
        <v>43584</v>
      </c>
      <c r="G37" s="226">
        <v>1</v>
      </c>
      <c r="H37" s="55" t="s">
        <v>294</v>
      </c>
      <c r="I37" s="103"/>
      <c r="J37" s="103"/>
    </row>
    <row r="38" spans="1:10" x14ac:dyDescent="0.25">
      <c r="A38" s="100" t="s">
        <v>222</v>
      </c>
      <c r="B38" s="102" t="s">
        <v>119</v>
      </c>
      <c r="C38" s="229"/>
      <c r="D38" s="230"/>
      <c r="E38" s="229"/>
      <c r="F38" s="230"/>
      <c r="G38" s="231"/>
      <c r="H38" s="55"/>
      <c r="I38" s="103"/>
      <c r="J38" s="103"/>
    </row>
    <row r="39" spans="1:10" ht="53.25" customHeight="1" x14ac:dyDescent="0.25">
      <c r="A39" s="100">
        <v>2</v>
      </c>
      <c r="B39" s="105" t="s">
        <v>207</v>
      </c>
      <c r="C39" s="229">
        <v>44110</v>
      </c>
      <c r="D39" s="229">
        <v>44110</v>
      </c>
      <c r="E39" s="229">
        <v>44110</v>
      </c>
      <c r="F39" s="229">
        <v>44110</v>
      </c>
      <c r="G39" s="226">
        <v>1</v>
      </c>
      <c r="H39" s="55" t="s">
        <v>294</v>
      </c>
      <c r="I39" s="103"/>
      <c r="J39" s="103"/>
    </row>
    <row r="40" spans="1:10" ht="33.75" customHeight="1" x14ac:dyDescent="0.25">
      <c r="A40" s="100" t="s">
        <v>118</v>
      </c>
      <c r="B40" s="105" t="s">
        <v>209</v>
      </c>
      <c r="C40" s="228">
        <v>44402</v>
      </c>
      <c r="D40" s="228">
        <v>44767</v>
      </c>
      <c r="E40" s="228">
        <v>44402</v>
      </c>
      <c r="F40" s="228">
        <v>44767</v>
      </c>
      <c r="G40" s="226">
        <v>1</v>
      </c>
      <c r="H40" s="55" t="s">
        <v>294</v>
      </c>
      <c r="I40" s="103"/>
      <c r="J40" s="103"/>
    </row>
    <row r="41" spans="1:10" ht="40.5" customHeight="1" x14ac:dyDescent="0.25">
      <c r="A41" s="100">
        <v>3</v>
      </c>
      <c r="B41" s="102" t="s">
        <v>263</v>
      </c>
      <c r="C41" s="232"/>
      <c r="D41" s="233"/>
      <c r="E41" s="232"/>
      <c r="F41" s="233"/>
      <c r="G41" s="231"/>
      <c r="H41" s="55"/>
      <c r="I41" s="103"/>
      <c r="J41" s="103"/>
    </row>
    <row r="42" spans="1:10" ht="35.25" customHeight="1" x14ac:dyDescent="0.25">
      <c r="A42" s="176" t="s">
        <v>117</v>
      </c>
      <c r="B42" s="105" t="s">
        <v>208</v>
      </c>
      <c r="C42" s="232">
        <v>44406</v>
      </c>
      <c r="D42" s="233">
        <v>44771</v>
      </c>
      <c r="E42" s="234">
        <v>44110</v>
      </c>
      <c r="F42" s="234">
        <v>44140</v>
      </c>
      <c r="G42" s="226">
        <v>1</v>
      </c>
      <c r="H42" s="55" t="s">
        <v>294</v>
      </c>
      <c r="I42" s="103"/>
      <c r="J42" s="103"/>
    </row>
    <row r="43" spans="1:10" ht="29.25" customHeight="1" x14ac:dyDescent="0.25">
      <c r="A43" s="176" t="s">
        <v>116</v>
      </c>
      <c r="B43" s="105" t="s">
        <v>115</v>
      </c>
      <c r="C43" s="232">
        <v>44418</v>
      </c>
      <c r="D43" s="233">
        <v>44783</v>
      </c>
      <c r="E43" s="234">
        <v>44532</v>
      </c>
      <c r="F43" s="234">
        <v>45168</v>
      </c>
      <c r="G43" s="226">
        <v>1</v>
      </c>
      <c r="H43" s="55" t="s">
        <v>294</v>
      </c>
      <c r="I43" s="103"/>
      <c r="J43" s="103"/>
    </row>
    <row r="44" spans="1:10" ht="24.75" customHeight="1" x14ac:dyDescent="0.25">
      <c r="A44" s="176" t="s">
        <v>114</v>
      </c>
      <c r="B44" s="105" t="s">
        <v>113</v>
      </c>
      <c r="C44" s="232">
        <v>44550</v>
      </c>
      <c r="D44" s="233">
        <v>45601</v>
      </c>
      <c r="E44" s="234">
        <v>44617</v>
      </c>
      <c r="F44" s="234">
        <v>45177</v>
      </c>
      <c r="G44" s="226">
        <v>1</v>
      </c>
      <c r="H44" s="55" t="s">
        <v>294</v>
      </c>
      <c r="I44" s="103"/>
      <c r="J44" s="103"/>
    </row>
    <row r="45" spans="1:10" ht="90.75" customHeight="1" x14ac:dyDescent="0.25">
      <c r="A45" s="176" t="s">
        <v>112</v>
      </c>
      <c r="B45" s="105" t="s">
        <v>213</v>
      </c>
      <c r="C45" s="232" t="s">
        <v>265</v>
      </c>
      <c r="D45" s="233" t="s">
        <v>265</v>
      </c>
      <c r="E45" s="232" t="s">
        <v>265</v>
      </c>
      <c r="F45" s="233" t="s">
        <v>265</v>
      </c>
      <c r="G45" s="226" t="s">
        <v>294</v>
      </c>
      <c r="H45" s="55" t="s">
        <v>294</v>
      </c>
      <c r="I45" s="103"/>
      <c r="J45" s="103"/>
    </row>
    <row r="46" spans="1:10" ht="167.25" customHeight="1" x14ac:dyDescent="0.25">
      <c r="A46" s="176" t="s">
        <v>110</v>
      </c>
      <c r="B46" s="105" t="s">
        <v>211</v>
      </c>
      <c r="C46" s="232" t="s">
        <v>265</v>
      </c>
      <c r="D46" s="233" t="s">
        <v>265</v>
      </c>
      <c r="E46" s="232" t="s">
        <v>265</v>
      </c>
      <c r="F46" s="233" t="s">
        <v>265</v>
      </c>
      <c r="G46" s="226" t="s">
        <v>294</v>
      </c>
      <c r="H46" s="55" t="s">
        <v>294</v>
      </c>
      <c r="I46" s="103"/>
      <c r="J46" s="103"/>
    </row>
    <row r="47" spans="1:10" ht="30.75" customHeight="1" x14ac:dyDescent="0.25">
      <c r="A47" s="176" t="s">
        <v>463</v>
      </c>
      <c r="B47" s="105" t="s">
        <v>111</v>
      </c>
      <c r="C47" s="229" t="s">
        <v>515</v>
      </c>
      <c r="D47" s="230">
        <v>45611</v>
      </c>
      <c r="E47" s="229" t="s">
        <v>536</v>
      </c>
      <c r="F47" s="229">
        <v>45247</v>
      </c>
      <c r="G47" s="226">
        <v>1</v>
      </c>
      <c r="H47" s="55" t="s">
        <v>294</v>
      </c>
      <c r="I47" s="103"/>
      <c r="J47" s="103"/>
    </row>
    <row r="48" spans="1:10" ht="37.5" customHeight="1" x14ac:dyDescent="0.25">
      <c r="A48" s="176">
        <v>4</v>
      </c>
      <c r="B48" s="51" t="s">
        <v>109</v>
      </c>
      <c r="C48" s="229"/>
      <c r="D48" s="230"/>
      <c r="E48" s="229"/>
      <c r="F48" s="230"/>
      <c r="G48" s="231"/>
      <c r="H48" s="55"/>
      <c r="I48" s="103"/>
      <c r="J48" s="103"/>
    </row>
    <row r="49" spans="1:10" ht="35.25" customHeight="1" x14ac:dyDescent="0.25">
      <c r="A49" s="176" t="s">
        <v>108</v>
      </c>
      <c r="B49" s="54" t="s">
        <v>107</v>
      </c>
      <c r="C49" s="229">
        <v>45613</v>
      </c>
      <c r="D49" s="229">
        <v>45655</v>
      </c>
      <c r="E49" s="229">
        <v>45247</v>
      </c>
      <c r="F49" s="229">
        <v>45259</v>
      </c>
      <c r="G49" s="226">
        <v>1</v>
      </c>
      <c r="H49" s="55" t="s">
        <v>294</v>
      </c>
      <c r="I49" s="103"/>
      <c r="J49" s="103"/>
    </row>
    <row r="50" spans="1:10" ht="86.25" customHeight="1" x14ac:dyDescent="0.25">
      <c r="A50" s="176" t="s">
        <v>106</v>
      </c>
      <c r="B50" s="54" t="s">
        <v>212</v>
      </c>
      <c r="C50" s="229">
        <v>45656</v>
      </c>
      <c r="D50" s="229">
        <v>45656</v>
      </c>
      <c r="E50" s="229">
        <v>45260</v>
      </c>
      <c r="F50" s="229">
        <v>45260</v>
      </c>
      <c r="G50" s="226">
        <v>1</v>
      </c>
      <c r="H50" s="55" t="s">
        <v>294</v>
      </c>
      <c r="I50" s="103"/>
      <c r="J50" s="103"/>
    </row>
    <row r="51" spans="1:10" ht="77.25" customHeight="1" x14ac:dyDescent="0.25">
      <c r="A51" s="176" t="s">
        <v>104</v>
      </c>
      <c r="B51" s="54" t="s">
        <v>214</v>
      </c>
      <c r="C51" s="229">
        <v>44918</v>
      </c>
      <c r="D51" s="230">
        <v>44918</v>
      </c>
      <c r="E51" s="229">
        <v>45260</v>
      </c>
      <c r="F51" s="229">
        <v>45260</v>
      </c>
      <c r="G51" s="226">
        <v>1</v>
      </c>
      <c r="H51" s="55" t="s">
        <v>294</v>
      </c>
      <c r="I51" s="103"/>
      <c r="J51" s="103"/>
    </row>
    <row r="52" spans="1:10" ht="71.25" customHeight="1" x14ac:dyDescent="0.25">
      <c r="A52" s="176" t="s">
        <v>102</v>
      </c>
      <c r="B52" s="54" t="s">
        <v>105</v>
      </c>
      <c r="C52" s="229" t="s">
        <v>265</v>
      </c>
      <c r="D52" s="230" t="s">
        <v>265</v>
      </c>
      <c r="E52" s="229" t="s">
        <v>265</v>
      </c>
      <c r="F52" s="230" t="s">
        <v>265</v>
      </c>
      <c r="G52" s="226" t="s">
        <v>294</v>
      </c>
      <c r="H52" s="55" t="s">
        <v>294</v>
      </c>
      <c r="I52" s="103"/>
      <c r="J52" s="103"/>
    </row>
    <row r="53" spans="1:10" ht="36" customHeight="1" x14ac:dyDescent="0.25">
      <c r="A53" s="176" t="s">
        <v>216</v>
      </c>
      <c r="B53" s="175" t="s">
        <v>215</v>
      </c>
      <c r="C53" s="229">
        <v>45656</v>
      </c>
      <c r="D53" s="229">
        <v>45656</v>
      </c>
      <c r="E53" s="229">
        <v>45260</v>
      </c>
      <c r="F53" s="229">
        <v>45260</v>
      </c>
      <c r="G53" s="226">
        <v>1</v>
      </c>
      <c r="H53" s="55" t="s">
        <v>294</v>
      </c>
      <c r="I53" s="103"/>
      <c r="J53" s="103"/>
    </row>
    <row r="54" spans="1:10" ht="36" customHeight="1" x14ac:dyDescent="0.25">
      <c r="A54" s="176" t="s">
        <v>464</v>
      </c>
      <c r="B54" s="54" t="s">
        <v>103</v>
      </c>
      <c r="C54" s="229" t="s">
        <v>265</v>
      </c>
      <c r="D54" s="230" t="s">
        <v>265</v>
      </c>
      <c r="E54" s="229" t="s">
        <v>265</v>
      </c>
      <c r="F54" s="230" t="s">
        <v>265</v>
      </c>
      <c r="G54" s="226" t="s">
        <v>294</v>
      </c>
      <c r="H54" s="55" t="s">
        <v>294</v>
      </c>
      <c r="I54" s="103"/>
      <c r="J54" s="103"/>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2024-07-31T09:46:30Z</dcterms:modified>
</cp:coreProperties>
</file>