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5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  <externalReference r:id="rId14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H37" i="16" l="1"/>
  <c r="G37" i="16"/>
  <c r="B29" i="22"/>
  <c r="B30" i="22"/>
  <c r="B62" i="22" l="1"/>
  <c r="C63" i="22" l="1"/>
  <c r="B49" i="22"/>
  <c r="B56" i="22"/>
  <c r="A15" i="7" l="1"/>
  <c r="D22" i="24"/>
  <c r="A5" i="7" l="1"/>
  <c r="C61" i="22" l="1"/>
  <c r="E37" i="15" l="1"/>
  <c r="E38" i="15"/>
  <c r="E39" i="15"/>
  <c r="E40" i="15"/>
  <c r="E41" i="15"/>
  <c r="E42" i="15"/>
  <c r="E36" i="15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B57" i="22" l="1"/>
  <c r="B71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H64" i="15" l="1"/>
  <c r="J63" i="15"/>
  <c r="C63" i="15"/>
  <c r="H62" i="15"/>
  <c r="J61" i="15"/>
  <c r="C61" i="15"/>
  <c r="H60" i="15"/>
  <c r="C57" i="15"/>
  <c r="C55" i="15"/>
  <c r="C53" i="15"/>
  <c r="C50" i="15"/>
  <c r="C48" i="15"/>
  <c r="C46" i="15"/>
  <c r="C44" i="15"/>
  <c r="C39" i="15"/>
  <c r="G33" i="15"/>
  <c r="C32" i="15"/>
  <c r="G30" i="15"/>
  <c r="C30" i="15"/>
  <c r="C49" i="7" s="1"/>
  <c r="J28" i="15"/>
  <c r="K28" i="15" s="1"/>
  <c r="H27" i="15"/>
  <c r="I27" i="15" s="1"/>
  <c r="G26" i="15"/>
  <c r="K24" i="15"/>
  <c r="G24" i="15"/>
  <c r="C24" i="15"/>
  <c r="C48" i="7" s="1"/>
  <c r="K64" i="15"/>
  <c r="G64" i="15"/>
  <c r="I63" i="15"/>
  <c r="K62" i="15"/>
  <c r="G62" i="15"/>
  <c r="I61" i="15"/>
  <c r="K60" i="15"/>
  <c r="G60" i="15"/>
  <c r="G56" i="15"/>
  <c r="G54" i="15"/>
  <c r="G52" i="15"/>
  <c r="G49" i="15"/>
  <c r="G47" i="15"/>
  <c r="G45" i="15"/>
  <c r="C42" i="15"/>
  <c r="C38" i="15"/>
  <c r="G34" i="15"/>
  <c r="C33" i="15"/>
  <c r="C64" i="15"/>
  <c r="J62" i="15"/>
  <c r="H61" i="15"/>
  <c r="C60" i="15"/>
  <c r="C54" i="15"/>
  <c r="C49" i="15"/>
  <c r="C45" i="15"/>
  <c r="C41" i="15"/>
  <c r="C31" i="15"/>
  <c r="F30" i="15"/>
  <c r="F31" i="15" s="1"/>
  <c r="H29" i="15"/>
  <c r="I29" i="15" s="1"/>
  <c r="J27" i="15"/>
  <c r="K27" i="15" s="1"/>
  <c r="J25" i="15"/>
  <c r="K25" i="15" s="1"/>
  <c r="I24" i="15"/>
  <c r="D24" i="15"/>
  <c r="K63" i="15"/>
  <c r="I62" i="15"/>
  <c r="G61" i="15"/>
  <c r="G55" i="15"/>
  <c r="G50" i="15"/>
  <c r="G46" i="15"/>
  <c r="C36" i="15"/>
  <c r="G32" i="15"/>
  <c r="E30" i="15"/>
  <c r="G29" i="15"/>
  <c r="G27" i="15"/>
  <c r="H25" i="15"/>
  <c r="I25" i="15" s="1"/>
  <c r="H24" i="15"/>
  <c r="J64" i="15"/>
  <c r="H63" i="15"/>
  <c r="C62" i="15"/>
  <c r="J60" i="15"/>
  <c r="C56" i="15"/>
  <c r="C52" i="15"/>
  <c r="C47" i="15"/>
  <c r="C37" i="15"/>
  <c r="C34" i="15"/>
  <c r="D30" i="15"/>
  <c r="H28" i="15"/>
  <c r="I28" i="15" s="1"/>
  <c r="J26" i="15"/>
  <c r="K26" i="15" s="1"/>
  <c r="G25" i="15"/>
  <c r="F24" i="15"/>
  <c r="I64" i="15"/>
  <c r="G63" i="15"/>
  <c r="K61" i="15"/>
  <c r="I60" i="15"/>
  <c r="G57" i="15"/>
  <c r="G53" i="15"/>
  <c r="C40" i="15"/>
  <c r="G31" i="15"/>
  <c r="H26" i="15"/>
  <c r="I26" i="15" s="1"/>
  <c r="J24" i="15"/>
  <c r="G44" i="15"/>
  <c r="J29" i="15"/>
  <c r="K29" i="15" s="1"/>
  <c r="E24" i="15"/>
  <c r="G48" i="15"/>
  <c r="G28" i="15"/>
  <c r="A12" i="5"/>
  <c r="A12" i="22"/>
  <c r="B80" i="22" l="1"/>
  <c r="B22" i="22"/>
  <c r="A16" i="25" l="1"/>
  <c r="B21" i="22"/>
  <c r="A16" i="28"/>
  <c r="A14" i="27"/>
  <c r="A14" i="24"/>
  <c r="A15" i="26"/>
  <c r="A15" i="23"/>
  <c r="A15" i="6"/>
  <c r="A15" i="16" s="1"/>
  <c r="A14" i="15" s="1"/>
  <c r="A15" i="22" l="1"/>
  <c r="A15" i="5"/>
  <c r="B23" i="22" l="1"/>
  <c r="E49" i="15" l="1"/>
  <c r="E46" i="15"/>
  <c r="E47" i="15"/>
  <c r="E34" i="15"/>
  <c r="D26" i="15"/>
  <c r="E64" i="15"/>
  <c r="E61" i="15"/>
  <c r="E44" i="15"/>
  <c r="E33" i="15"/>
  <c r="E45" i="15"/>
  <c r="E56" i="15"/>
  <c r="E54" i="15"/>
  <c r="E52" i="15"/>
  <c r="E31" i="15"/>
  <c r="E57" i="15"/>
  <c r="E55" i="15"/>
  <c r="E63" i="15"/>
  <c r="E50" i="15"/>
  <c r="E62" i="15"/>
  <c r="D25" i="15"/>
  <c r="E53" i="15"/>
  <c r="E60" i="15"/>
  <c r="E32" i="15"/>
  <c r="E48" i="15"/>
  <c r="F26" i="15" l="1"/>
  <c r="E26" i="15" s="1"/>
  <c r="C26" i="15"/>
  <c r="C29" i="15"/>
  <c r="C25" i="15"/>
  <c r="E29" i="15"/>
  <c r="F25" i="15"/>
  <c r="E25" i="15" s="1"/>
  <c r="C28" i="15"/>
  <c r="E28" i="15"/>
  <c r="D28" i="15"/>
  <c r="D61" i="15" l="1"/>
  <c r="D62" i="15" l="1"/>
  <c r="D60" i="15"/>
  <c r="D64" i="15" l="1"/>
  <c r="D63" i="15" l="1"/>
  <c r="F27" i="15" l="1"/>
  <c r="E27" i="15" s="1"/>
  <c r="B27" i="22"/>
  <c r="C27" i="15"/>
  <c r="B52" i="22" l="1"/>
  <c r="D29" i="15" l="1"/>
  <c r="B63" i="22" l="1"/>
  <c r="D63" i="22" s="1"/>
  <c r="B61" i="22" l="1"/>
  <c r="D61" i="22" s="1"/>
  <c r="D27" i="15"/>
  <c r="B60" i="22" l="1"/>
  <c r="I30" i="15" l="1"/>
  <c r="J30" i="15"/>
  <c r="J32" i="15"/>
  <c r="J33" i="15"/>
  <c r="J34" i="15"/>
  <c r="K30" i="15"/>
  <c r="I52" i="15"/>
  <c r="I56" i="15"/>
  <c r="J52" i="15"/>
  <c r="J56" i="15"/>
  <c r="B25" i="22"/>
  <c r="K48" i="15" l="1"/>
  <c r="K40" i="15"/>
  <c r="D54" i="15"/>
  <c r="D45" i="15"/>
  <c r="D37" i="15"/>
  <c r="I55" i="15"/>
  <c r="I38" i="15"/>
  <c r="I46" i="15"/>
  <c r="H40" i="15"/>
  <c r="H48" i="15"/>
  <c r="H53" i="15"/>
  <c r="H44" i="15"/>
  <c r="H36" i="15"/>
  <c r="K44" i="15"/>
  <c r="K53" i="15"/>
  <c r="K36" i="15"/>
  <c r="J57" i="15"/>
  <c r="J42" i="15"/>
  <c r="J50" i="15"/>
  <c r="I49" i="15"/>
  <c r="I41" i="15"/>
  <c r="I36" i="15"/>
  <c r="I53" i="15"/>
  <c r="I44" i="15"/>
  <c r="H47" i="15"/>
  <c r="H39" i="15"/>
  <c r="K34" i="15"/>
  <c r="D34" i="15"/>
  <c r="D42" i="15"/>
  <c r="D50" i="15"/>
  <c r="D57" i="15"/>
  <c r="K38" i="15"/>
  <c r="K55" i="15"/>
  <c r="K46" i="15"/>
  <c r="J46" i="15"/>
  <c r="J38" i="15"/>
  <c r="J55" i="15"/>
  <c r="I39" i="15"/>
  <c r="I47" i="15"/>
  <c r="H55" i="15"/>
  <c r="H38" i="15"/>
  <c r="H46" i="15"/>
  <c r="D33" i="15"/>
  <c r="D55" i="15"/>
  <c r="D46" i="15"/>
  <c r="D38" i="15"/>
  <c r="K49" i="15"/>
  <c r="K41" i="15"/>
  <c r="K54" i="15"/>
  <c r="K45" i="15"/>
  <c r="K37" i="15"/>
  <c r="J49" i="15"/>
  <c r="J41" i="15"/>
  <c r="J44" i="15"/>
  <c r="J53" i="15"/>
  <c r="J36" i="15"/>
  <c r="H41" i="15"/>
  <c r="H49" i="15"/>
  <c r="H54" i="15"/>
  <c r="H45" i="15"/>
  <c r="H37" i="15"/>
  <c r="K32" i="15"/>
  <c r="D32" i="15"/>
  <c r="H30" i="15"/>
  <c r="J31" i="15"/>
  <c r="K33" i="15"/>
  <c r="H52" i="15"/>
  <c r="H56" i="15"/>
  <c r="K52" i="15"/>
  <c r="K56" i="15"/>
  <c r="D52" i="15"/>
  <c r="I45" i="15" l="1"/>
  <c r="I37" i="15"/>
  <c r="I54" i="15"/>
  <c r="I57" i="15"/>
  <c r="I50" i="15"/>
  <c r="I42" i="15"/>
  <c r="J48" i="15"/>
  <c r="J40" i="15"/>
  <c r="H42" i="15"/>
  <c r="H50" i="15"/>
  <c r="H57" i="15"/>
  <c r="K31" i="15"/>
  <c r="D31" i="15"/>
  <c r="J37" i="15"/>
  <c r="J45" i="15"/>
  <c r="J54" i="15"/>
  <c r="D56" i="15"/>
  <c r="D47" i="15"/>
  <c r="D39" i="15"/>
  <c r="I48" i="15"/>
  <c r="I40" i="15"/>
  <c r="K42" i="15" l="1"/>
  <c r="K57" i="15"/>
  <c r="K50" i="15"/>
  <c r="K39" i="15" l="1"/>
  <c r="K47" i="15"/>
  <c r="J47" i="15" l="1"/>
  <c r="J39" i="15"/>
</calcChain>
</file>

<file path=xl/sharedStrings.xml><?xml version="1.0" encoding="utf-8"?>
<sst xmlns="http://schemas.openxmlformats.org/spreadsheetml/2006/main" count="1221" uniqueCount="501">
  <si>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</si>
  <si>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</si>
  <si>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</si>
  <si>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</si>
  <si>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</si>
  <si>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</si>
  <si>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</si>
  <si>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</si>
  <si>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</si>
  <si>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</si>
  <si>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</si>
  <si>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</si>
  <si>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</si>
  <si>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</si>
  <si>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</si>
  <si>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</si>
  <si>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</si>
  <si>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</si>
  <si>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</si>
  <si>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</si>
  <si>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</si>
  <si>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</si>
  <si>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</si>
  <si>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</si>
  <si>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</si>
  <si>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</si>
  <si>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</si>
  <si>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</si>
  <si>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</si>
  <si>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</si>
  <si>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</si>
  <si>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</si>
  <si>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</si>
  <si>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</si>
  <si>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</si>
  <si>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</si>
  <si>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</si>
  <si>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</si>
  <si>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</si>
  <si>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</si>
  <si>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</si>
  <si>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</si>
  <si>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</si>
  <si>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</si>
  <si>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</si>
  <si>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</si>
  <si>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</si>
  <si>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</si>
  <si>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</si>
  <si>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</si>
  <si>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</si>
  <si>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</si>
  <si>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</si>
  <si>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</si>
  <si>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</si>
  <si>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</si>
  <si>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</si>
  <si>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</si>
  <si>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</si>
  <si>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</si>
  <si>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</si>
  <si>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</si>
  <si>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</si>
  <si>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</si>
  <si>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</si>
  <si>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</si>
  <si>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</si>
  <si>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</si>
  <si>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</si>
  <si>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</si>
  <si>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</si>
  <si>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</si>
  <si>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</si>
  <si>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</si>
  <si>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</si>
  <si>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</si>
  <si>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</si>
  <si>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</si>
  <si>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</si>
  <si>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</si>
  <si>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</si>
  <si>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</si>
  <si>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</si>
  <si>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</si>
  <si>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</si>
  <si>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</si>
  <si>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</si>
  <si>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</si>
  <si>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</si>
  <si>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</si>
  <si>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</si>
  <si>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</si>
  <si>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</si>
  <si>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</si>
  <si>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</si>
  <si>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</si>
  <si>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</si>
  <si>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</si>
  <si>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</si>
  <si>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</si>
  <si>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</si>
  <si>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</si>
  <si>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</si>
  <si>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</si>
  <si>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</si>
  <si>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</si>
  <si>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</si>
  <si>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</si>
  <si>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</si>
  <si>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</si>
  <si>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</si>
  <si>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</si>
  <si>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</si>
  <si>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</si>
  <si>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</si>
  <si>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</si>
  <si>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</si>
  <si>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</si>
  <si>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</si>
  <si>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</si>
  <si>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</si>
  <si>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</si>
  <si>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</si>
  <si>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</si>
  <si>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</si>
  <si>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</si>
  <si>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</si>
  <si>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</si>
  <si>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</si>
  <si>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</si>
  <si>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</si>
  <si>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</si>
  <si>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</si>
  <si>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</si>
  <si>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</si>
  <si>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</si>
  <si>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</si>
  <si>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</si>
  <si>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</si>
  <si>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</si>
  <si>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</si>
  <si>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</si>
  <si>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</si>
  <si>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</si>
  <si>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</si>
  <si>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</si>
  <si>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</si>
  <si>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</si>
  <si>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</si>
  <si>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</si>
  <si>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</si>
  <si>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</si>
  <si>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</si>
  <si>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</si>
  <si>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</si>
  <si>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</si>
  <si>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</si>
  <si>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</si>
  <si>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</si>
  <si>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</si>
  <si>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</si>
  <si>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</si>
  <si>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</si>
  <si>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</si>
  <si>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</si>
  <si>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</si>
  <si>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</si>
  <si>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</si>
  <si>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</si>
  <si>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</si>
  <si>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</si>
  <si>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</si>
  <si>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</si>
  <si>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</si>
  <si>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</si>
  <si>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</si>
  <si>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</si>
  <si>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</si>
  <si>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</si>
  <si>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</si>
  <si>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</si>
  <si>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</si>
  <si>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</si>
  <si>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</si>
  <si>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</si>
  <si>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</si>
  <si>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</si>
  <si>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</si>
  <si>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</si>
  <si>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</si>
  <si>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</si>
  <si>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</si>
  <si>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</si>
  <si>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</si>
  <si>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</si>
  <si>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</si>
  <si>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</si>
  <si>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</si>
  <si>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</si>
  <si>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</si>
  <si>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</si>
  <si>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</si>
  <si>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</si>
  <si>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</si>
  <si>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</si>
  <si>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</si>
  <si>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</si>
  <si>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</si>
  <si>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</si>
  <si>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</si>
  <si>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</si>
  <si>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</si>
  <si>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</si>
  <si>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</si>
  <si>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</si>
  <si>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</si>
  <si>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</si>
  <si>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</si>
  <si>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</si>
  <si>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</si>
  <si>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</si>
  <si>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</si>
  <si>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</si>
  <si>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</si>
  <si>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</si>
  <si>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</si>
  <si>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</si>
  <si>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</si>
  <si>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</si>
  <si>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</si>
  <si>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</si>
  <si>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</si>
  <si>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</si>
  <si>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</si>
  <si>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</si>
  <si>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</si>
  <si>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</si>
  <si>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</si>
  <si>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</si>
  <si>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</si>
  <si>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</si>
  <si>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</si>
  <si>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</si>
  <si>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</si>
  <si>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</si>
  <si>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</si>
  <si>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</si>
  <si>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</si>
  <si>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</si>
  <si>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</si>
  <si>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</si>
  <si>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</si>
  <si>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</si>
  <si>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</si>
  <si>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</si>
  <si>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</si>
  <si>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</si>
  <si>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</si>
  <si>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</si>
  <si>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</si>
  <si>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</si>
  <si>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</si>
  <si>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</si>
  <si>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</si>
  <si>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</si>
  <si>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</si>
  <si>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</si>
  <si>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</si>
  <si>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</si>
  <si>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</si>
  <si>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</si>
  <si>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</si>
  <si>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</si>
  <si>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</si>
  <si>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</si>
  <si>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</si>
  <si>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</si>
  <si>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</si>
  <si>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</si>
  <si>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</si>
  <si>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</si>
  <si>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</si>
  <si>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</si>
  <si>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</si>
  <si>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</si>
  <si>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</si>
  <si>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</si>
  <si>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</si>
  <si>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</si>
  <si>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</si>
  <si>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</si>
  <si>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</si>
  <si>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</si>
  <si>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</si>
  <si>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</si>
  <si>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</si>
  <si>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</si>
  <si>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</si>
  <si>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</si>
  <si>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</si>
  <si>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</si>
  <si>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</si>
  <si>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</si>
  <si>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</si>
  <si>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</si>
  <si>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</si>
  <si>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</si>
  <si>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</si>
  <si>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</si>
  <si>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</si>
  <si>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</si>
  <si>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</si>
  <si>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</si>
  <si>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</si>
  <si>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</si>
  <si>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</si>
  <si>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</si>
  <si>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</si>
  <si>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</si>
  <si>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</si>
  <si>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</si>
  <si>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</si>
  <si>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</si>
  <si>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</si>
  <si>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</si>
  <si>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</si>
  <si>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</si>
  <si>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</si>
  <si>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</si>
  <si>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</si>
  <si>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</si>
  <si>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</si>
  <si>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</si>
  <si>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</si>
  <si>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</si>
  <si>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</si>
  <si>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</si>
  <si>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</si>
  <si>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</si>
  <si>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</si>
  <si>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</si>
  <si>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</si>
  <si>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</si>
  <si>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</si>
  <si>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</si>
  <si>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</si>
  <si>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</si>
  <si>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</si>
  <si>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</si>
  <si>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</si>
  <si>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</si>
  <si>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</si>
  <si>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</si>
  <si>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</si>
  <si>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</si>
  <si>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</si>
  <si>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</si>
  <si>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</si>
  <si>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</si>
  <si>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</si>
  <si>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</si>
  <si>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</si>
  <si>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</si>
  <si>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</si>
  <si>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</si>
  <si>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</si>
  <si>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</si>
  <si>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</si>
  <si>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</si>
  <si>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</si>
  <si>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</si>
  <si>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</si>
  <si>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</si>
  <si>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</si>
  <si>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</si>
  <si>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</si>
  <si>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</si>
  <si>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</si>
  <si>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</si>
  <si>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</si>
  <si>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</si>
  <si>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</si>
  <si>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</si>
  <si>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</si>
  <si>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</si>
  <si>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</si>
  <si>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</si>
  <si>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</si>
  <si>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</si>
  <si>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</si>
  <si>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</si>
  <si>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</si>
  <si>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</si>
  <si>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</si>
  <si>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</si>
  <si>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</si>
  <si>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</si>
  <si>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</si>
  <si>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</si>
  <si>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</si>
  <si>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</si>
  <si>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</si>
  <si>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</si>
  <si>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</si>
  <si>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</si>
  <si>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</si>
  <si>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</si>
  <si>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</si>
  <si>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</si>
  <si>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</si>
  <si>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</si>
  <si>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</si>
  <si>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</si>
  <si>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</si>
  <si>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</si>
  <si>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</si>
  <si>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</si>
  <si>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</si>
  <si>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</si>
  <si>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</si>
  <si>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</si>
  <si>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</si>
  <si>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</si>
  <si>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</si>
  <si>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</si>
  <si>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</si>
  <si>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</si>
  <si>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</si>
  <si>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</si>
  <si>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</si>
  <si>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</si>
  <si>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</si>
  <si>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</si>
  <si>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</si>
  <si>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</si>
  <si>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</si>
  <si>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</si>
  <si>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</si>
  <si>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</si>
  <si>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</si>
  <si>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</si>
  <si>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</si>
  <si>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</si>
  <si>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</si>
  <si>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</si>
  <si>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</si>
  <si>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</si>
  <si>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</si>
  <si>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</si>
  <si>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</si>
  <si>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</si>
  <si>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</si>
  <si>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</si>
  <si>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</si>
  <si>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</si>
  <si>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</si>
  <si>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</si>
  <si>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</si>
  <si>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</si>
  <si>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</si>
  <si>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</si>
  <si>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</si>
  <si>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</si>
  <si>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объем заключенного договора в ценах _2021_ года с НДС, млн. руб.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</si>
  <si>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</si>
  <si>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</si>
  <si>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</si>
  <si>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</si>
  <si>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Итум-Калинский район, Шатойский район</t>
  </si>
  <si>
    <t>местный</t>
  </si>
  <si>
    <t>не предусмотрен</t>
  </si>
  <si>
    <t>не проводились</t>
  </si>
  <si>
    <t>Башенная МГЭС</t>
  </si>
  <si>
    <t>п</t>
  </si>
  <si>
    <t>Проектирование</t>
  </si>
  <si>
    <t>Итого за год (нарастающим итогом)</t>
  </si>
  <si>
    <t>за текущий квартал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</si>
  <si>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</si>
  <si>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</si>
  <si>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</si>
  <si>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</si>
  <si>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 xml:space="preserve">ООО "Авангард" </t>
  </si>
  <si>
    <t>O_Che479_24</t>
  </si>
  <si>
    <t xml:space="preserve"> № 23421/2022/ЧЭ/ИКРЭС от 04.04.2023</t>
  </si>
  <si>
    <t>ПС 35 кВ Шатой</t>
  </si>
  <si>
    <t>Исполнение обязательств по договору технологического присоединения  № 23421/2022/ЧЭ/ИКРЭС от 04.04.2023</t>
  </si>
  <si>
    <t>Технологическое присоединение ООО "Малые ГЭС Ставрополья и Карачаево-Черкессии" максимальной мощностью 10 МВт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</si>
  <si>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</si>
  <si>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 xml:space="preserve">Договор технологического присоединения от 04.04.2023 №23421/2022/ЧЭ/ИКРЭС </t>
  </si>
  <si>
    <t>ПИР</t>
  </si>
  <si>
    <t>ССР</t>
  </si>
  <si>
    <t>ОК</t>
  </si>
  <si>
    <t>ООО "АВАНГАРД"</t>
  </si>
  <si>
    <t>Процедура                              №32313133305</t>
  </si>
  <si>
    <t>rosseti.roseltorg.ru</t>
  </si>
  <si>
    <t>Закупка у ЕИ  не осуществлялась</t>
  </si>
  <si>
    <t xml:space="preserve">прочее </t>
  </si>
  <si>
    <t>Договор от 07.02.2024 № 01-2024-ПИР-ЧЭ заключен в рамках релаизации двух объектов на общую сумму 17 802,76 тыс. руб. с НДС, объем затрат по данному титулу - 2 955,42 тыс. руб с НДС</t>
  </si>
  <si>
    <t>ООО "Авангард" № 01-2024-ПИР-ЧЭ от 07.02.2024, объем затрат по данному титулу - 2 955,42 тыс. руб с НДС</t>
  </si>
  <si>
    <t>объем заключенного договора в ценах _____ года с НДС, млн. руб.</t>
  </si>
  <si>
    <t>объем заключенного договора в ценах ____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</si>
</sst>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4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0" fontId="58" fillId="0" borderId="31" xfId="57" applyFont="1" applyFill="1" applyBorder="1" applyAlignment="1">
      <alignment horizontal="center" vertical="center" wrapText="1"/>
    </xf>
    <xf numFmtId="0" fontId="58" fillId="0" borderId="32" xfId="57" applyFont="1" applyFill="1" applyBorder="1" applyAlignment="1">
      <alignment horizontal="center" vertical="center" wrapText="1"/>
    </xf>
    <xf numFmtId="0" fontId="62" fillId="0" borderId="32" xfId="57" applyFont="1" applyFill="1" applyBorder="1" applyAlignment="1">
      <alignment horizontal="center" vertical="center" wrapText="1"/>
    </xf>
    <xf numFmtId="2" fontId="58" fillId="0" borderId="32" xfId="57" applyNumberFormat="1" applyFont="1" applyFill="1" applyBorder="1" applyAlignment="1">
      <alignment horizontal="center" vertical="center" wrapText="1"/>
    </xf>
    <xf numFmtId="0" fontId="10" fillId="0" borderId="31" xfId="43" applyFont="1" applyFill="1" applyBorder="1" applyAlignment="1">
      <alignment vertical="center" wrapText="1"/>
    </xf>
    <xf numFmtId="0" fontId="6" fillId="0" borderId="31" xfId="57" applyFont="1" applyFill="1" applyBorder="1" applyAlignment="1">
      <alignment vertical="center" wrapText="1"/>
    </xf>
    <xf numFmtId="0" fontId="58" fillId="0" borderId="31" xfId="57" applyFont="1" applyFill="1" applyBorder="1" applyAlignment="1">
      <alignment horizontal="left" vertical="center" wrapText="1"/>
    </xf>
    <xf numFmtId="0" fontId="58" fillId="0" borderId="31" xfId="57" applyFont="1" applyFill="1" applyBorder="1" applyAlignment="1">
      <alignment vertical="center" wrapText="1"/>
    </xf>
    <xf numFmtId="0" fontId="39" fillId="0" borderId="0" xfId="43" applyFont="1" applyFill="1" applyAlignment="1">
      <alignment horizontal="center" vertical="top" wrapText="1"/>
    </xf>
    <xf numFmtId="0" fontId="38" fillId="0" borderId="31" xfId="43" applyFont="1" applyFill="1" applyBorder="1" applyAlignment="1">
      <alignment horizontal="justify" vertical="center" wrapText="1"/>
    </xf>
    <xf numFmtId="2" fontId="37" fillId="0" borderId="31" xfId="43" applyNumberFormat="1" applyFont="1" applyFill="1" applyBorder="1" applyAlignment="1">
      <alignment horizontal="justify" vertical="center" wrapText="1"/>
    </xf>
    <xf numFmtId="9" fontId="37" fillId="0" borderId="31" xfId="65" applyFont="1" applyFill="1" applyBorder="1" applyAlignment="1">
      <alignment horizontal="justify" vertical="center"/>
    </xf>
    <xf numFmtId="0" fontId="34" fillId="0" borderId="31" xfId="53" applyFont="1" applyFill="1" applyBorder="1" applyAlignment="1">
      <alignment horizontal="center" vertical="center"/>
    </xf>
    <xf numFmtId="49" fontId="37" fillId="24" borderId="31" xfId="53" applyNumberFormat="1" applyFont="1" applyFill="1" applyBorder="1" applyAlignment="1">
      <alignment horizontal="center" vertical="center" wrapText="1"/>
    </xf>
    <xf numFmtId="0" fontId="34" fillId="0" borderId="31" xfId="53" applyFont="1" applyFill="1" applyBorder="1"/>
    <xf numFmtId="2" fontId="37" fillId="24" borderId="31" xfId="53" applyNumberFormat="1" applyFont="1" applyFill="1" applyBorder="1" applyAlignment="1">
      <alignment horizontal="center" vertical="center" wrapText="1"/>
    </xf>
    <xf numFmtId="4" fontId="34" fillId="0" borderId="31" xfId="53" applyNumberFormat="1" applyFont="1" applyFill="1" applyBorder="1" applyAlignment="1">
      <alignment horizontal="center" vertical="center"/>
    </xf>
    <xf numFmtId="0" fontId="37" fillId="0" borderId="31" xfId="53" applyFont="1" applyFill="1" applyBorder="1" applyAlignment="1">
      <alignment horizontal="center" vertical="center" wrapText="1"/>
    </xf>
    <xf numFmtId="2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horizontal="center" vertical="center" wrapText="1"/>
    </xf>
    <xf numFmtId="14" fontId="34" fillId="0" borderId="31" xfId="53" applyNumberFormat="1" applyFont="1" applyFill="1" applyBorder="1" applyAlignment="1">
      <alignment horizontal="center" vertical="center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1" fontId="66" fillId="0" borderId="32" xfId="53" applyNumberFormat="1" applyFont="1" applyFill="1" applyBorder="1" applyAlignment="1">
      <alignment horizontal="center" vertical="center" wrapText="1"/>
    </xf>
    <xf numFmtId="1" fontId="66" fillId="0" borderId="33" xfId="53" applyNumberFormat="1" applyFont="1" applyFill="1" applyBorder="1" applyAlignment="1">
      <alignment horizontal="center" vertical="center" wrapText="1"/>
    </xf>
    <xf numFmtId="1" fontId="66" fillId="0" borderId="34" xfId="53" applyNumberFormat="1" applyFont="1" applyFill="1" applyBorder="1" applyAlignment="1">
      <alignment horizontal="center" vertical="center" wrapText="1"/>
    </xf>
    <xf numFmtId="0" fontId="34" fillId="0" borderId="31" xfId="53" applyFont="1" applyFill="1" applyBorder="1" applyAlignment="1">
      <alignment wrapText="1"/>
    </xf>
    <xf numFmtId="14" fontId="10" fillId="0" borderId="31" xfId="43" applyNumberFormat="1" applyFont="1" applyFill="1" applyBorder="1" applyAlignment="1">
      <alignment horizontal="center" vertical="center" wrapText="1"/>
    </xf>
    <xf numFmtId="9" fontId="10" fillId="0" borderId="31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_Che478_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паспорт бюджет"/>
      <sheetName val="5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37" zoomScale="70" zoomScaleNormal="100" zoomScaleSheetLayoutView="70" workbookViewId="0">
      <selection activeCell="A15" sqref="A15:C15"/>
    </sheetView>
  </sheetViews>
  <sheetFormatPr defaultColWidth="9.140625" defaultRowHeight="15" x14ac:dyDescent="0.25"/>
  <cols>
    <col min="1" max="1" width="6.140625" style="52" customWidth="1"/>
    <col min="2" max="2" width="53.5703125" style="52" customWidth="1"/>
    <col min="3" max="3" width="91.42578125" style="52" customWidth="1"/>
    <col min="4" max="4" width="12" style="52" customWidth="1"/>
    <col min="5" max="5" width="14.42578125" style="52" customWidth="1"/>
    <col min="6" max="6" width="36.5703125" style="52" customWidth="1"/>
    <col min="7" max="7" width="20" style="52" customWidth="1"/>
    <col min="8" max="8" width="25.5703125" style="52" customWidth="1"/>
    <col min="9" max="9" width="16.42578125" style="52" customWidth="1"/>
    <col min="10" max="16384" width="9.140625" style="52"/>
  </cols>
  <sheetData>
    <row r="1" spans="1:22" s="2" customFormat="1" ht="18.75" customHeight="1" x14ac:dyDescent="0.2">
      <c r="A1" s="21"/>
      <c r="C1" s="22" t="s">
        <v>57</v>
      </c>
    </row>
    <row r="2" spans="1:22" s="2" customFormat="1" ht="18.75" customHeight="1" x14ac:dyDescent="0.3">
      <c r="A2" s="21"/>
      <c r="C2" s="23" t="s">
        <v>6</v>
      </c>
    </row>
    <row r="3" spans="1:22" s="2" customFormat="1" ht="18.75" x14ac:dyDescent="0.3">
      <c r="A3" s="24"/>
      <c r="C3" s="23" t="s">
        <v>56</v>
      </c>
    </row>
    <row r="4" spans="1:22" s="2" customFormat="1" ht="18.75" x14ac:dyDescent="0.3">
      <c r="A4" s="24"/>
      <c r="H4" s="23"/>
    </row>
    <row r="5" spans="1:22" s="2" customFormat="1" ht="15.75" x14ac:dyDescent="0.25">
      <c r="A5" s="207" t="str">
        <f>'[1]6.2. отчет'!$B$2</f>
        <v>Год раскрытия информации: 2024 год</v>
      </c>
      <c r="B5" s="207"/>
      <c r="C5" s="207"/>
      <c r="D5" s="19"/>
      <c r="E5" s="19"/>
      <c r="F5" s="19"/>
      <c r="G5" s="19"/>
      <c r="H5" s="19"/>
      <c r="I5" s="19"/>
      <c r="J5" s="19"/>
    </row>
    <row r="6" spans="1:22" s="2" customFormat="1" ht="18.75" x14ac:dyDescent="0.3">
      <c r="A6" s="24"/>
      <c r="H6" s="23"/>
    </row>
    <row r="7" spans="1:22" s="2" customFormat="1" ht="18.75" x14ac:dyDescent="0.2">
      <c r="A7" s="211" t="s">
        <v>5</v>
      </c>
      <c r="B7" s="211"/>
      <c r="C7" s="211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</row>
    <row r="8" spans="1:22" s="2" customFormat="1" ht="18.75" x14ac:dyDescent="0.2">
      <c r="A8" s="59"/>
      <c r="B8" s="59"/>
      <c r="C8" s="59"/>
      <c r="D8" s="59"/>
      <c r="E8" s="59"/>
      <c r="F8" s="59"/>
      <c r="G8" s="59"/>
      <c r="H8" s="59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2" customFormat="1" ht="18.75" x14ac:dyDescent="0.2">
      <c r="A9" s="212" t="s">
        <v>287</v>
      </c>
      <c r="B9" s="212"/>
      <c r="C9" s="212"/>
      <c r="D9" s="63"/>
      <c r="E9" s="63"/>
      <c r="F9" s="63"/>
      <c r="G9" s="63"/>
      <c r="H9" s="63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s="2" customFormat="1" ht="18.75" x14ac:dyDescent="0.2">
      <c r="A10" s="213" t="s">
        <v>4</v>
      </c>
      <c r="B10" s="213"/>
      <c r="C10" s="213"/>
      <c r="D10" s="64"/>
      <c r="E10" s="64"/>
      <c r="F10" s="64"/>
      <c r="G10" s="64"/>
      <c r="H10" s="6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</row>
    <row r="11" spans="1:22" s="2" customFormat="1" ht="18.75" x14ac:dyDescent="0.2">
      <c r="A11" s="59"/>
      <c r="B11" s="59"/>
      <c r="C11" s="59"/>
      <c r="D11" s="59"/>
      <c r="E11" s="59"/>
      <c r="F11" s="59"/>
      <c r="G11" s="59"/>
      <c r="H11" s="59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</row>
    <row r="12" spans="1:22" s="2" customFormat="1" ht="18.75" x14ac:dyDescent="0.2">
      <c r="A12" s="212" t="s">
        <v>482</v>
      </c>
      <c r="B12" s="212"/>
      <c r="C12" s="212"/>
      <c r="D12" s="63"/>
      <c r="E12" s="63"/>
      <c r="F12" s="63"/>
      <c r="G12" s="63"/>
      <c r="H12" s="63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</row>
    <row r="13" spans="1:22" s="2" customFormat="1" ht="18.75" x14ac:dyDescent="0.2">
      <c r="A13" s="213" t="s">
        <v>3</v>
      </c>
      <c r="B13" s="213"/>
      <c r="C13" s="213"/>
      <c r="D13" s="64"/>
      <c r="E13" s="64"/>
      <c r="F13" s="64"/>
      <c r="G13" s="64"/>
      <c r="H13" s="6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</row>
    <row r="14" spans="1:22" s="36" customFormat="1" ht="15.75" customHeight="1" x14ac:dyDescent="0.2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22" s="37" customFormat="1" ht="101.25" customHeight="1" x14ac:dyDescent="0.2">
      <c r="A15" s="214" t="str">
        <f>VLOOKUP(A12,'[1]6.2. отчет'!$A:$C,3,0)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2"/>
      <c r="C15" s="212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</row>
    <row r="16" spans="1:22" s="37" customFormat="1" ht="15" customHeight="1" x14ac:dyDescent="0.2">
      <c r="A16" s="208" t="s">
        <v>2</v>
      </c>
      <c r="B16" s="208"/>
      <c r="C16" s="208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</row>
    <row r="17" spans="1:22" s="37" customFormat="1" ht="15" customHeight="1" x14ac:dyDescent="0.2">
      <c r="A17" s="65"/>
      <c r="B17" s="65"/>
      <c r="C17" s="65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22" s="37" customFormat="1" ht="15" customHeight="1" x14ac:dyDescent="0.2">
      <c r="A18" s="209" t="s">
        <v>279</v>
      </c>
      <c r="B18" s="210"/>
      <c r="C18" s="210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</row>
    <row r="19" spans="1:22" s="37" customFormat="1" ht="15" customHeight="1" x14ac:dyDescent="0.2">
      <c r="A19" s="67"/>
      <c r="B19" s="67"/>
      <c r="C19" s="67"/>
      <c r="D19" s="64"/>
      <c r="E19" s="64"/>
      <c r="F19" s="64"/>
      <c r="G19" s="64"/>
      <c r="H19" s="64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22" s="37" customFormat="1" ht="39.75" customHeight="1" x14ac:dyDescent="0.2">
      <c r="A20" s="68" t="s">
        <v>1</v>
      </c>
      <c r="B20" s="69" t="s">
        <v>55</v>
      </c>
      <c r="C20" s="70" t="s">
        <v>54</v>
      </c>
      <c r="D20" s="71"/>
      <c r="E20" s="71"/>
      <c r="F20" s="71"/>
      <c r="G20" s="71"/>
      <c r="H20" s="71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72"/>
      <c r="U20" s="72"/>
      <c r="V20" s="72"/>
    </row>
    <row r="21" spans="1:22" s="37" customFormat="1" ht="16.5" customHeight="1" x14ac:dyDescent="0.2">
      <c r="A21" s="70">
        <v>1</v>
      </c>
      <c r="B21" s="69">
        <v>2</v>
      </c>
      <c r="C21" s="70">
        <v>3</v>
      </c>
      <c r="D21" s="71"/>
      <c r="E21" s="71"/>
      <c r="F21" s="71"/>
      <c r="G21" s="71"/>
      <c r="H21" s="71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72"/>
      <c r="U21" s="72"/>
      <c r="V21" s="72"/>
    </row>
    <row r="22" spans="1:22" s="37" customFormat="1" ht="39" customHeight="1" x14ac:dyDescent="0.2">
      <c r="A22" s="55" t="s">
        <v>53</v>
      </c>
      <c r="B22" s="73" t="s">
        <v>171</v>
      </c>
      <c r="C22" s="57" t="s">
        <v>464</v>
      </c>
      <c r="D22" s="71"/>
      <c r="E22" s="71"/>
      <c r="F22" s="71"/>
      <c r="G22" s="71"/>
      <c r="H22" s="71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72"/>
      <c r="U22" s="72"/>
      <c r="V22" s="72"/>
    </row>
    <row r="23" spans="1:22" s="37" customFormat="1" ht="80.25" customHeight="1" x14ac:dyDescent="0.2">
      <c r="A23" s="55" t="s">
        <v>52</v>
      </c>
      <c r="B23" s="56" t="s">
        <v>445</v>
      </c>
      <c r="C23" s="57" t="s">
        <v>465</v>
      </c>
      <c r="D23" s="71"/>
      <c r="E23" s="71"/>
      <c r="F23" s="71"/>
      <c r="G23" s="71"/>
      <c r="H23" s="71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72"/>
      <c r="U23" s="72"/>
      <c r="V23" s="72"/>
    </row>
    <row r="24" spans="1:22" s="37" customFormat="1" ht="22.5" customHeight="1" x14ac:dyDescent="0.2">
      <c r="A24" s="204"/>
      <c r="B24" s="205"/>
      <c r="C24" s="206"/>
      <c r="D24" s="71"/>
      <c r="E24" s="71"/>
      <c r="F24" s="71"/>
      <c r="G24" s="71"/>
      <c r="H24" s="71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72"/>
      <c r="U24" s="72"/>
      <c r="V24" s="72"/>
    </row>
    <row r="25" spans="1:22" s="37" customFormat="1" ht="58.5" customHeight="1" x14ac:dyDescent="0.2">
      <c r="A25" s="55" t="s">
        <v>51</v>
      </c>
      <c r="B25" s="57" t="s">
        <v>252</v>
      </c>
      <c r="C25" s="68" t="s">
        <v>466</v>
      </c>
      <c r="D25" s="71"/>
      <c r="E25" s="71"/>
      <c r="F25" s="71"/>
      <c r="G25" s="71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72"/>
      <c r="T25" s="72"/>
      <c r="U25" s="72"/>
      <c r="V25" s="72"/>
    </row>
    <row r="26" spans="1:22" s="37" customFormat="1" ht="42.75" customHeight="1" x14ac:dyDescent="0.2">
      <c r="A26" s="55" t="s">
        <v>50</v>
      </c>
      <c r="B26" s="57" t="s">
        <v>63</v>
      </c>
      <c r="C26" s="68" t="s">
        <v>467</v>
      </c>
      <c r="D26" s="71"/>
      <c r="E26" s="71"/>
      <c r="F26" s="71"/>
      <c r="G26" s="71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72"/>
      <c r="T26" s="72"/>
      <c r="U26" s="72"/>
      <c r="V26" s="72"/>
    </row>
    <row r="27" spans="1:22" s="37" customFormat="1" ht="51.75" customHeight="1" x14ac:dyDescent="0.2">
      <c r="A27" s="55" t="s">
        <v>48</v>
      </c>
      <c r="B27" s="57" t="s">
        <v>62</v>
      </c>
      <c r="C27" s="57" t="s">
        <v>468</v>
      </c>
      <c r="D27" s="71"/>
      <c r="E27" s="71"/>
      <c r="F27" s="71"/>
      <c r="G27" s="71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72"/>
      <c r="T27" s="72"/>
      <c r="U27" s="72"/>
      <c r="V27" s="72"/>
    </row>
    <row r="28" spans="1:22" s="37" customFormat="1" ht="42.75" customHeight="1" x14ac:dyDescent="0.2">
      <c r="A28" s="55" t="s">
        <v>47</v>
      </c>
      <c r="B28" s="57" t="s">
        <v>253</v>
      </c>
      <c r="C28" s="57" t="s">
        <v>288</v>
      </c>
      <c r="D28" s="71"/>
      <c r="E28" s="71"/>
      <c r="F28" s="71"/>
      <c r="G28" s="71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72"/>
      <c r="T28" s="72"/>
      <c r="U28" s="72"/>
      <c r="V28" s="72"/>
    </row>
    <row r="29" spans="1:22" s="37" customFormat="1" ht="51.75" customHeight="1" x14ac:dyDescent="0.2">
      <c r="A29" s="55" t="s">
        <v>45</v>
      </c>
      <c r="B29" s="57" t="s">
        <v>254</v>
      </c>
      <c r="C29" s="57" t="s">
        <v>288</v>
      </c>
      <c r="D29" s="71"/>
      <c r="E29" s="71"/>
      <c r="F29" s="71"/>
      <c r="G29" s="71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72"/>
      <c r="T29" s="72"/>
      <c r="U29" s="72"/>
      <c r="V29" s="72"/>
    </row>
    <row r="30" spans="1:22" s="37" customFormat="1" ht="51.75" customHeight="1" x14ac:dyDescent="0.2">
      <c r="A30" s="55" t="s">
        <v>43</v>
      </c>
      <c r="B30" s="57" t="s">
        <v>255</v>
      </c>
      <c r="C30" s="57" t="s">
        <v>288</v>
      </c>
      <c r="D30" s="71"/>
      <c r="E30" s="71"/>
      <c r="F30" s="71"/>
      <c r="G30" s="71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72"/>
      <c r="T30" s="72"/>
      <c r="U30" s="72"/>
      <c r="V30" s="72"/>
    </row>
    <row r="31" spans="1:22" s="37" customFormat="1" ht="51.75" customHeight="1" x14ac:dyDescent="0.2">
      <c r="A31" s="55" t="s">
        <v>61</v>
      </c>
      <c r="B31" s="57" t="s">
        <v>256</v>
      </c>
      <c r="C31" s="57" t="s">
        <v>288</v>
      </c>
      <c r="D31" s="71"/>
      <c r="E31" s="71"/>
      <c r="F31" s="71"/>
      <c r="G31" s="71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72"/>
      <c r="T31" s="72"/>
      <c r="U31" s="72"/>
      <c r="V31" s="72"/>
    </row>
    <row r="32" spans="1:22" s="37" customFormat="1" ht="51.75" customHeight="1" x14ac:dyDescent="0.2">
      <c r="A32" s="55" t="s">
        <v>59</v>
      </c>
      <c r="B32" s="57" t="s">
        <v>257</v>
      </c>
      <c r="C32" s="57" t="s">
        <v>288</v>
      </c>
      <c r="D32" s="71"/>
      <c r="E32" s="71"/>
      <c r="F32" s="71"/>
      <c r="G32" s="71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72"/>
      <c r="T32" s="72"/>
      <c r="U32" s="72"/>
      <c r="V32" s="72"/>
    </row>
    <row r="33" spans="1:22" s="37" customFormat="1" ht="101.25" customHeight="1" x14ac:dyDescent="0.2">
      <c r="A33" s="55" t="s">
        <v>58</v>
      </c>
      <c r="B33" s="57" t="s">
        <v>258</v>
      </c>
      <c r="C33" s="57" t="s">
        <v>469</v>
      </c>
      <c r="D33" s="71"/>
      <c r="E33" s="71"/>
      <c r="F33" s="71"/>
      <c r="G33" s="71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72"/>
      <c r="T33" s="72"/>
      <c r="U33" s="72"/>
      <c r="V33" s="72"/>
    </row>
    <row r="34" spans="1:22" ht="111" customHeight="1" x14ac:dyDescent="0.25">
      <c r="A34" s="55" t="s">
        <v>267</v>
      </c>
      <c r="B34" s="57" t="s">
        <v>259</v>
      </c>
      <c r="C34" s="57" t="s">
        <v>447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</row>
    <row r="35" spans="1:22" ht="58.5" customHeight="1" x14ac:dyDescent="0.25">
      <c r="A35" s="55" t="s">
        <v>262</v>
      </c>
      <c r="B35" s="57" t="s">
        <v>60</v>
      </c>
      <c r="C35" s="57" t="s">
        <v>288</v>
      </c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</row>
    <row r="36" spans="1:22" ht="51.75" customHeight="1" x14ac:dyDescent="0.25">
      <c r="A36" s="55" t="s">
        <v>268</v>
      </c>
      <c r="B36" s="57" t="s">
        <v>260</v>
      </c>
      <c r="C36" s="57" t="s">
        <v>447</v>
      </c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</row>
    <row r="37" spans="1:22" ht="43.5" customHeight="1" x14ac:dyDescent="0.25">
      <c r="A37" s="55" t="s">
        <v>263</v>
      </c>
      <c r="B37" s="57" t="s">
        <v>261</v>
      </c>
      <c r="C37" s="57" t="s">
        <v>447</v>
      </c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</row>
    <row r="38" spans="1:22" ht="43.5" customHeight="1" x14ac:dyDescent="0.25">
      <c r="A38" s="55" t="s">
        <v>269</v>
      </c>
      <c r="B38" s="57" t="s">
        <v>167</v>
      </c>
      <c r="C38" s="57" t="s">
        <v>288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</row>
    <row r="39" spans="1:22" ht="23.25" customHeight="1" x14ac:dyDescent="0.25">
      <c r="A39" s="204"/>
      <c r="B39" s="205"/>
      <c r="C39" s="206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</row>
    <row r="40" spans="1:22" ht="63" x14ac:dyDescent="0.25">
      <c r="A40" s="55" t="s">
        <v>264</v>
      </c>
      <c r="B40" s="57" t="s">
        <v>444</v>
      </c>
      <c r="C40" s="68" t="s">
        <v>300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</row>
    <row r="41" spans="1:22" ht="94.5" x14ac:dyDescent="0.25">
      <c r="A41" s="28" t="s">
        <v>270</v>
      </c>
      <c r="B41" s="18" t="s">
        <v>301</v>
      </c>
      <c r="C41" s="68" t="s">
        <v>288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</row>
    <row r="42" spans="1:22" ht="78.75" x14ac:dyDescent="0.25">
      <c r="A42" s="28" t="s">
        <v>265</v>
      </c>
      <c r="B42" s="18" t="s">
        <v>302</v>
      </c>
      <c r="C42" s="68" t="s">
        <v>470</v>
      </c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</row>
    <row r="43" spans="1:22" ht="179.25" customHeight="1" x14ac:dyDescent="0.25">
      <c r="A43" s="28" t="s">
        <v>272</v>
      </c>
      <c r="B43" s="18" t="s">
        <v>303</v>
      </c>
      <c r="C43" s="68" t="s">
        <v>288</v>
      </c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</row>
    <row r="44" spans="1:22" ht="95.25" customHeight="1" x14ac:dyDescent="0.25">
      <c r="A44" s="28" t="s">
        <v>266</v>
      </c>
      <c r="B44" s="18" t="s">
        <v>304</v>
      </c>
      <c r="C44" s="68" t="s">
        <v>288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</row>
    <row r="45" spans="1:22" ht="82.5" customHeight="1" x14ac:dyDescent="0.25">
      <c r="A45" s="28" t="s">
        <v>305</v>
      </c>
      <c r="B45" s="18" t="s">
        <v>306</v>
      </c>
      <c r="C45" s="68" t="s">
        <v>288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</row>
    <row r="46" spans="1:22" ht="95.25" customHeight="1" x14ac:dyDescent="0.25">
      <c r="A46" s="28" t="s">
        <v>307</v>
      </c>
      <c r="B46" s="18" t="s">
        <v>280</v>
      </c>
      <c r="C46" s="68" t="s">
        <v>471</v>
      </c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</row>
    <row r="47" spans="1:22" ht="22.5" customHeight="1" x14ac:dyDescent="0.25">
      <c r="A47" s="28"/>
      <c r="B47" s="18"/>
      <c r="C47" s="29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</row>
    <row r="48" spans="1:22" ht="75.75" customHeight="1" x14ac:dyDescent="0.25">
      <c r="A48" s="28" t="s">
        <v>442</v>
      </c>
      <c r="B48" s="18" t="s">
        <v>284</v>
      </c>
      <c r="C48" s="156" t="str">
        <f>'6.2. Паспорт фин осв ввод'!C24</f>
        <v>нд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</row>
    <row r="49" spans="1:22" ht="71.25" customHeight="1" x14ac:dyDescent="0.25">
      <c r="A49" s="28" t="s">
        <v>443</v>
      </c>
      <c r="B49" s="18" t="s">
        <v>285</v>
      </c>
      <c r="C49" s="156" t="str">
        <f>'6.2. Паспорт фин осв ввод'!C30</f>
        <v>нд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</row>
    <row r="50" spans="1:22" x14ac:dyDescent="0.25">
      <c r="A50" s="74"/>
      <c r="B50" s="74"/>
      <c r="C50" s="74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</row>
    <row r="51" spans="1:22" x14ac:dyDescent="0.25">
      <c r="A51" s="74"/>
      <c r="B51" s="74"/>
      <c r="C51" s="74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</row>
    <row r="52" spans="1:22" x14ac:dyDescent="0.2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</row>
    <row r="53" spans="1:22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</row>
    <row r="54" spans="1:22" x14ac:dyDescent="0.2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</row>
    <row r="55" spans="1:22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</row>
    <row r="56" spans="1:22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</row>
    <row r="57" spans="1:22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</row>
    <row r="58" spans="1:22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</row>
    <row r="59" spans="1:22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</row>
    <row r="60" spans="1:22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</row>
    <row r="61" spans="1:22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</row>
    <row r="62" spans="1:22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</row>
    <row r="63" spans="1:22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</row>
    <row r="64" spans="1:22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</row>
    <row r="65" spans="1:22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</row>
    <row r="66" spans="1:22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</row>
    <row r="67" spans="1:22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</row>
    <row r="68" spans="1:22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</row>
    <row r="69" spans="1:22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</row>
    <row r="70" spans="1:22" x14ac:dyDescent="0.2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</row>
    <row r="71" spans="1:22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</row>
    <row r="72" spans="1:22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</row>
    <row r="73" spans="1:22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</row>
    <row r="74" spans="1:22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</row>
    <row r="75" spans="1:22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</row>
    <row r="76" spans="1:22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</row>
    <row r="77" spans="1:22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</row>
    <row r="78" spans="1:22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</row>
    <row r="79" spans="1:22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</row>
    <row r="80" spans="1:22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</row>
    <row r="81" spans="1:22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</row>
    <row r="82" spans="1:22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</row>
    <row r="83" spans="1:22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</row>
    <row r="84" spans="1:22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</row>
    <row r="85" spans="1:22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</row>
    <row r="86" spans="1:22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</row>
    <row r="87" spans="1:22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</row>
    <row r="88" spans="1:22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</row>
    <row r="89" spans="1:22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</row>
    <row r="90" spans="1:22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</row>
    <row r="91" spans="1:22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</row>
    <row r="92" spans="1:22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</row>
    <row r="93" spans="1:22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</row>
    <row r="94" spans="1:22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</row>
    <row r="95" spans="1:22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</row>
    <row r="96" spans="1:22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</row>
    <row r="97" spans="1:22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</row>
    <row r="98" spans="1:22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</row>
    <row r="99" spans="1:22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</row>
    <row r="100" spans="1:22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</row>
    <row r="101" spans="1:22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</row>
    <row r="102" spans="1:22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</row>
    <row r="103" spans="1:22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</row>
    <row r="104" spans="1:22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</row>
    <row r="105" spans="1:22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</row>
    <row r="106" spans="1:22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</row>
    <row r="107" spans="1:22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</row>
    <row r="108" spans="1:22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</row>
    <row r="109" spans="1:22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</row>
    <row r="110" spans="1:22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</row>
    <row r="111" spans="1:22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</row>
    <row r="112" spans="1:22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</row>
    <row r="113" spans="1:22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</row>
    <row r="114" spans="1:22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</row>
    <row r="115" spans="1:22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</row>
    <row r="116" spans="1:22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</row>
    <row r="117" spans="1:22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</row>
    <row r="118" spans="1:22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</row>
    <row r="119" spans="1:22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</row>
    <row r="120" spans="1:22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</row>
    <row r="121" spans="1:22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</row>
    <row r="122" spans="1:22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</row>
    <row r="123" spans="1:22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</row>
    <row r="124" spans="1:22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</row>
    <row r="125" spans="1:22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</row>
    <row r="126" spans="1:22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</row>
    <row r="127" spans="1:22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</row>
    <row r="128" spans="1:22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</row>
    <row r="129" spans="1:22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</row>
    <row r="130" spans="1:22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</row>
    <row r="131" spans="1:22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</row>
    <row r="132" spans="1:22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</row>
    <row r="133" spans="1:22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</row>
    <row r="134" spans="1:22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</row>
    <row r="135" spans="1:22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</row>
    <row r="136" spans="1:22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</row>
    <row r="137" spans="1:22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</row>
    <row r="138" spans="1:22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</row>
    <row r="139" spans="1:22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</row>
    <row r="140" spans="1:22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</row>
    <row r="141" spans="1:22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</row>
    <row r="142" spans="1:22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</row>
    <row r="143" spans="1:22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</row>
    <row r="144" spans="1:22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</row>
    <row r="145" spans="1:22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</row>
    <row r="146" spans="1:22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</row>
    <row r="147" spans="1:22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</row>
    <row r="148" spans="1:22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</row>
    <row r="149" spans="1:22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</row>
    <row r="150" spans="1:22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</row>
    <row r="151" spans="1:22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</row>
    <row r="152" spans="1:22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</row>
    <row r="153" spans="1:22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</row>
    <row r="154" spans="1:22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</row>
    <row r="155" spans="1:22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</row>
    <row r="156" spans="1:22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</row>
    <row r="157" spans="1:22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</row>
    <row r="158" spans="1:22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</row>
    <row r="159" spans="1:22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</row>
    <row r="160" spans="1:22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</row>
    <row r="161" spans="1:22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</row>
    <row r="162" spans="1:22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</row>
    <row r="163" spans="1:22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</row>
    <row r="164" spans="1:22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</row>
    <row r="165" spans="1:22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</row>
    <row r="166" spans="1:22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</row>
    <row r="167" spans="1:22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</row>
    <row r="168" spans="1:22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</row>
    <row r="169" spans="1:22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</row>
    <row r="170" spans="1:22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</row>
    <row r="171" spans="1:22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</row>
    <row r="172" spans="1:22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</row>
    <row r="173" spans="1:22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</row>
    <row r="174" spans="1:22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</row>
    <row r="175" spans="1:22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</row>
    <row r="176" spans="1:22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</row>
    <row r="177" spans="1:22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</row>
    <row r="178" spans="1:22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</row>
    <row r="179" spans="1:22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</row>
    <row r="180" spans="1:22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</row>
    <row r="181" spans="1:22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</row>
    <row r="182" spans="1:22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</row>
    <row r="183" spans="1:22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</row>
    <row r="184" spans="1:22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</row>
    <row r="185" spans="1:22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</row>
    <row r="186" spans="1:22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</row>
    <row r="187" spans="1:22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</row>
    <row r="188" spans="1:22" x14ac:dyDescent="0.25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</row>
    <row r="189" spans="1:22" x14ac:dyDescent="0.25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</row>
    <row r="190" spans="1:22" x14ac:dyDescent="0.25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</row>
    <row r="191" spans="1:22" x14ac:dyDescent="0.25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</row>
    <row r="192" spans="1:22" x14ac:dyDescent="0.25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</row>
    <row r="193" spans="1:22" x14ac:dyDescent="0.25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</row>
    <row r="194" spans="1:22" x14ac:dyDescent="0.25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</row>
    <row r="195" spans="1:22" x14ac:dyDescent="0.25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</row>
    <row r="196" spans="1:22" x14ac:dyDescent="0.25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</row>
    <row r="197" spans="1:22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</row>
    <row r="198" spans="1:22" x14ac:dyDescent="0.25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</row>
    <row r="199" spans="1:22" x14ac:dyDescent="0.25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</row>
    <row r="200" spans="1:22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</row>
    <row r="201" spans="1:22" x14ac:dyDescent="0.25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</row>
    <row r="202" spans="1:22" x14ac:dyDescent="0.25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</row>
    <row r="203" spans="1:22" x14ac:dyDescent="0.25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</row>
    <row r="204" spans="1:22" x14ac:dyDescent="0.25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</row>
    <row r="205" spans="1:22" x14ac:dyDescent="0.25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</row>
    <row r="206" spans="1:22" x14ac:dyDescent="0.25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</row>
    <row r="207" spans="1:22" x14ac:dyDescent="0.25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</row>
    <row r="208" spans="1:22" x14ac:dyDescent="0.25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</row>
    <row r="209" spans="1:22" x14ac:dyDescent="0.25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</row>
    <row r="210" spans="1:22" x14ac:dyDescent="0.25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</row>
    <row r="211" spans="1:22" x14ac:dyDescent="0.25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</row>
    <row r="212" spans="1:22" x14ac:dyDescent="0.25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</row>
    <row r="213" spans="1:22" x14ac:dyDescent="0.25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</row>
    <row r="214" spans="1:22" x14ac:dyDescent="0.25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</row>
    <row r="215" spans="1:22" x14ac:dyDescent="0.25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</row>
    <row r="216" spans="1:22" x14ac:dyDescent="0.25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</row>
    <row r="217" spans="1:22" x14ac:dyDescent="0.25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</row>
    <row r="218" spans="1:22" x14ac:dyDescent="0.25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</row>
    <row r="219" spans="1:22" x14ac:dyDescent="0.25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</row>
    <row r="220" spans="1:22" x14ac:dyDescent="0.25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</row>
    <row r="221" spans="1:22" x14ac:dyDescent="0.25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</row>
    <row r="222" spans="1:22" x14ac:dyDescent="0.25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</row>
    <row r="223" spans="1:22" x14ac:dyDescent="0.25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</row>
    <row r="224" spans="1:22" x14ac:dyDescent="0.25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</row>
    <row r="225" spans="1:22" x14ac:dyDescent="0.25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</row>
    <row r="226" spans="1:22" x14ac:dyDescent="0.25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</row>
    <row r="227" spans="1:22" x14ac:dyDescent="0.25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</row>
    <row r="228" spans="1:22" x14ac:dyDescent="0.25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</row>
    <row r="229" spans="1:22" x14ac:dyDescent="0.25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</row>
    <row r="230" spans="1:22" x14ac:dyDescent="0.25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</row>
    <row r="231" spans="1:22" x14ac:dyDescent="0.25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</row>
    <row r="232" spans="1:22" x14ac:dyDescent="0.25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</row>
    <row r="233" spans="1:22" x14ac:dyDescent="0.25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</row>
    <row r="234" spans="1:22" x14ac:dyDescent="0.25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</row>
    <row r="235" spans="1:22" x14ac:dyDescent="0.25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</row>
    <row r="236" spans="1:22" x14ac:dyDescent="0.25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</row>
    <row r="237" spans="1:22" x14ac:dyDescent="0.25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</row>
    <row r="238" spans="1:22" x14ac:dyDescent="0.25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</row>
    <row r="239" spans="1:22" x14ac:dyDescent="0.25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</row>
    <row r="240" spans="1:22" x14ac:dyDescent="0.25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</row>
    <row r="241" spans="1:22" x14ac:dyDescent="0.25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</row>
    <row r="242" spans="1:22" x14ac:dyDescent="0.25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</row>
    <row r="243" spans="1:22" x14ac:dyDescent="0.25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</row>
    <row r="244" spans="1:22" x14ac:dyDescent="0.25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</row>
    <row r="245" spans="1:22" x14ac:dyDescent="0.25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</row>
    <row r="246" spans="1:22" x14ac:dyDescent="0.25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</row>
    <row r="247" spans="1:22" x14ac:dyDescent="0.25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</row>
    <row r="248" spans="1:22" x14ac:dyDescent="0.25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</row>
    <row r="249" spans="1:22" x14ac:dyDescent="0.25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</row>
    <row r="250" spans="1:22" x14ac:dyDescent="0.25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</row>
    <row r="251" spans="1:22" x14ac:dyDescent="0.25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</row>
    <row r="252" spans="1:22" x14ac:dyDescent="0.25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</row>
    <row r="253" spans="1:22" x14ac:dyDescent="0.25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</row>
    <row r="254" spans="1:22" x14ac:dyDescent="0.25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</row>
    <row r="255" spans="1:22" x14ac:dyDescent="0.25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</row>
    <row r="256" spans="1:22" x14ac:dyDescent="0.25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</row>
    <row r="257" spans="1:22" x14ac:dyDescent="0.25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</row>
    <row r="258" spans="1:22" x14ac:dyDescent="0.25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</row>
    <row r="259" spans="1:22" x14ac:dyDescent="0.25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</row>
    <row r="260" spans="1:22" x14ac:dyDescent="0.25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</row>
    <row r="261" spans="1:22" x14ac:dyDescent="0.25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</row>
    <row r="262" spans="1:22" x14ac:dyDescent="0.25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</row>
    <row r="263" spans="1:22" x14ac:dyDescent="0.25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</row>
    <row r="264" spans="1:22" x14ac:dyDescent="0.25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</row>
    <row r="265" spans="1:22" x14ac:dyDescent="0.25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</row>
    <row r="266" spans="1:22" x14ac:dyDescent="0.25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</row>
    <row r="267" spans="1:22" x14ac:dyDescent="0.25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</row>
    <row r="268" spans="1:22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</row>
    <row r="269" spans="1:22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</row>
    <row r="270" spans="1:22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</row>
    <row r="271" spans="1:22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</row>
    <row r="272" spans="1:22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</row>
    <row r="273" spans="1:22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</row>
    <row r="274" spans="1:22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</row>
    <row r="275" spans="1:22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</row>
    <row r="276" spans="1:22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</row>
    <row r="277" spans="1:22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</row>
    <row r="278" spans="1:22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</row>
    <row r="279" spans="1:22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</row>
    <row r="280" spans="1:22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</row>
    <row r="281" spans="1:22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</row>
    <row r="282" spans="1:22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</row>
    <row r="283" spans="1:22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</row>
    <row r="284" spans="1:22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</row>
    <row r="285" spans="1:22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</row>
    <row r="286" spans="1:22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</row>
    <row r="287" spans="1:22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</row>
    <row r="288" spans="1:22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</row>
    <row r="289" spans="1:22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</row>
    <row r="290" spans="1:22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</row>
    <row r="291" spans="1:22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</row>
    <row r="292" spans="1:22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</row>
    <row r="293" spans="1:22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</row>
    <row r="294" spans="1:22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</row>
    <row r="295" spans="1:22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</row>
    <row r="296" spans="1:22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</row>
    <row r="297" spans="1:22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</row>
    <row r="298" spans="1:22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</row>
    <row r="299" spans="1:22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</row>
    <row r="300" spans="1:22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</row>
    <row r="301" spans="1:22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</row>
    <row r="302" spans="1:22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</row>
    <row r="303" spans="1:22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</row>
    <row r="304" spans="1:22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</row>
    <row r="305" spans="1:22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</row>
    <row r="306" spans="1:22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</row>
    <row r="307" spans="1:22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</row>
    <row r="308" spans="1:22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</row>
    <row r="309" spans="1:22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</row>
    <row r="310" spans="1:22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</row>
    <row r="311" spans="1:22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</row>
    <row r="312" spans="1:22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</row>
    <row r="313" spans="1:22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</row>
    <row r="314" spans="1:22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</row>
    <row r="315" spans="1:22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</row>
    <row r="316" spans="1:22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</row>
    <row r="317" spans="1:22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</row>
    <row r="318" spans="1:22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</row>
    <row r="319" spans="1:22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</row>
    <row r="320" spans="1:22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</row>
    <row r="321" spans="1:22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</row>
    <row r="322" spans="1:22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</row>
    <row r="323" spans="1:22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</row>
    <row r="324" spans="1:22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</row>
    <row r="325" spans="1:22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</row>
    <row r="326" spans="1:22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</row>
    <row r="327" spans="1:22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</row>
    <row r="328" spans="1:22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</row>
    <row r="329" spans="1:22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</row>
    <row r="330" spans="1:22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</row>
    <row r="331" spans="1:22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</row>
    <row r="332" spans="1:22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</row>
    <row r="333" spans="1:22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</row>
    <row r="334" spans="1:22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</row>
    <row r="335" spans="1:22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abSelected="1" topLeftCell="A16" zoomScale="60" zoomScaleNormal="60" zoomScaleSheetLayoutView="75" workbookViewId="0">
      <selection activeCell="I49" sqref="I49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2" t="s">
        <v>57</v>
      </c>
    </row>
    <row r="2" spans="1:11" ht="18.75" x14ac:dyDescent="0.3">
      <c r="K2" s="23" t="s">
        <v>6</v>
      </c>
    </row>
    <row r="3" spans="1:11" ht="18.75" x14ac:dyDescent="0.3">
      <c r="K3" s="23" t="s">
        <v>56</v>
      </c>
    </row>
    <row r="4" spans="1:11" ht="18.75" customHeight="1" x14ac:dyDescent="0.25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6" spans="1:11" ht="18.75" x14ac:dyDescent="0.25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18.75" x14ac:dyDescent="0.2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x14ac:dyDescent="0.25">
      <c r="A8" s="212" t="str">
        <f>'6.1. Паспорт сетевой график'!A9:L9</f>
        <v>АО "Чеченэнерго"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8.75" customHeight="1" x14ac:dyDescent="0.25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</row>
    <row r="10" spans="1:11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</row>
    <row r="11" spans="1:11" x14ac:dyDescent="0.25">
      <c r="A11" s="212" t="str">
        <f>'6.1. Паспорт сетевой график'!A12:L12</f>
        <v>O_Che479_24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</row>
    <row r="12" spans="1:11" x14ac:dyDescent="0.25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12" t="str">
        <f>'6.1. Паспорт сетевой график'!A15:L15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</row>
    <row r="15" spans="1:11" ht="15.75" customHeight="1" x14ac:dyDescent="0.25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</row>
    <row r="16" spans="1:11" x14ac:dyDescent="0.25">
      <c r="A16" s="273"/>
      <c r="B16" s="273"/>
      <c r="C16" s="273"/>
      <c r="D16" s="273"/>
      <c r="E16" s="273"/>
      <c r="F16" s="273"/>
      <c r="G16" s="273"/>
      <c r="H16" s="273"/>
      <c r="I16" s="273"/>
      <c r="J16" s="273"/>
      <c r="K16" s="273"/>
    </row>
    <row r="18" spans="1:11" x14ac:dyDescent="0.25">
      <c r="A18" s="282" t="s">
        <v>274</v>
      </c>
      <c r="B18" s="282"/>
      <c r="C18" s="282"/>
      <c r="D18" s="282"/>
      <c r="E18" s="282"/>
      <c r="F18" s="282"/>
      <c r="G18" s="282"/>
      <c r="H18" s="282"/>
      <c r="I18" s="282"/>
      <c r="J18" s="282"/>
      <c r="K18" s="282"/>
    </row>
    <row r="19" spans="1:11" x14ac:dyDescent="0.25">
      <c r="F19" s="53"/>
    </row>
    <row r="20" spans="1:11" ht="33" customHeight="1" x14ac:dyDescent="0.25">
      <c r="A20" s="277" t="s">
        <v>124</v>
      </c>
      <c r="B20" s="277" t="s">
        <v>123</v>
      </c>
      <c r="C20" s="283" t="s">
        <v>122</v>
      </c>
      <c r="D20" s="284"/>
      <c r="E20" s="278" t="s">
        <v>121</v>
      </c>
      <c r="F20" s="279"/>
      <c r="G20" s="261" t="s">
        <v>477</v>
      </c>
      <c r="H20" s="274" t="s">
        <v>478</v>
      </c>
      <c r="I20" s="275"/>
      <c r="J20" s="275"/>
      <c r="K20" s="276"/>
    </row>
    <row r="21" spans="1:11" ht="87" customHeight="1" x14ac:dyDescent="0.25">
      <c r="A21" s="277"/>
      <c r="B21" s="277"/>
      <c r="C21" s="285"/>
      <c r="D21" s="286"/>
      <c r="E21" s="280"/>
      <c r="F21" s="281"/>
      <c r="G21" s="262"/>
      <c r="H21" s="267" t="s">
        <v>0</v>
      </c>
      <c r="I21" s="268"/>
      <c r="J21" s="267" t="s">
        <v>7</v>
      </c>
      <c r="K21" s="268"/>
    </row>
    <row r="22" spans="1:11" ht="62.25" customHeight="1" x14ac:dyDescent="0.25">
      <c r="A22" s="277"/>
      <c r="B22" s="277"/>
      <c r="C22" s="165" t="s">
        <v>0</v>
      </c>
      <c r="D22" s="165" t="s">
        <v>7</v>
      </c>
      <c r="E22" s="177" t="s">
        <v>479</v>
      </c>
      <c r="F22" s="177" t="s">
        <v>480</v>
      </c>
      <c r="G22" s="263"/>
      <c r="H22" s="178" t="s">
        <v>475</v>
      </c>
      <c r="I22" s="178" t="s">
        <v>476</v>
      </c>
      <c r="J22" s="178" t="s">
        <v>475</v>
      </c>
      <c r="K22" s="178" t="s">
        <v>476</v>
      </c>
    </row>
    <row r="23" spans="1:11" ht="19.5" customHeight="1" x14ac:dyDescent="0.25">
      <c r="A23" s="166">
        <v>1</v>
      </c>
      <c r="B23" s="166">
        <v>2</v>
      </c>
      <c r="C23" s="166">
        <v>3</v>
      </c>
      <c r="D23" s="166">
        <v>4</v>
      </c>
      <c r="E23" s="166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</row>
    <row r="24" spans="1:11" s="32" customFormat="1" ht="47.25" customHeight="1" x14ac:dyDescent="0.25">
      <c r="A24" s="167">
        <v>1</v>
      </c>
      <c r="B24" s="168" t="s">
        <v>120</v>
      </c>
      <c r="C24" s="150" t="str">
        <f>VLOOKUP($A$11,'[1]6.2. отчет'!$D:$K,2,0)</f>
        <v>нд</v>
      </c>
      <c r="D24" s="150">
        <f>VLOOKUP($A$11,'[1]6.2. отчет'!$D:$K,5,0)</f>
        <v>0</v>
      </c>
      <c r="E24" s="150">
        <f>VLOOKUP($A$11,'[1]6.2. отчет'!$D:$K,7,0)</f>
        <v>2.9554151000000002</v>
      </c>
      <c r="F24" s="150">
        <f>VLOOKUP($A$11,'[1]6.2. отчет'!$D:$K,8,0)</f>
        <v>2.9554151000000002</v>
      </c>
      <c r="G24" s="150">
        <f>VLOOKUP($A$11,'[1]6.2. отчет'!$D:$BL,9,0)</f>
        <v>0</v>
      </c>
      <c r="H24" s="150" t="str">
        <f>VLOOKUP($A$11,'[1]6.2. отчет'!$D:$BL,15,0)</f>
        <v>нд</v>
      </c>
      <c r="I24" s="150" t="str">
        <f>VLOOKUP($A$11,'[1]6.2. отчет'!$D:$CU,45,0)</f>
        <v>нд</v>
      </c>
      <c r="J24" s="150">
        <f>VLOOKUP($A$11,'[1]6.2. отчет'!$D:$BL,56,0)</f>
        <v>0</v>
      </c>
      <c r="K24" s="150">
        <f>VLOOKUP($A$11,'[1]6.2. отчет'!$D:$CU,86,0)</f>
        <v>0</v>
      </c>
    </row>
    <row r="25" spans="1:11" s="32" customFormat="1" ht="21.75" customHeight="1" x14ac:dyDescent="0.25">
      <c r="A25" s="169" t="s">
        <v>119</v>
      </c>
      <c r="B25" s="170" t="s">
        <v>118</v>
      </c>
      <c r="C25" s="150" t="str">
        <f t="shared" ref="C25:C26" si="0">H25</f>
        <v>нд</v>
      </c>
      <c r="D25" s="150">
        <f>G25+J25</f>
        <v>0</v>
      </c>
      <c r="E25" s="150">
        <f t="shared" ref="E25:E28" si="1">F25+G25</f>
        <v>0</v>
      </c>
      <c r="F25" s="150">
        <f t="shared" ref="F25:F26" si="2">J25</f>
        <v>0</v>
      </c>
      <c r="G25" s="150">
        <f>VLOOKUP($A$11,'[1]6.2. отчет'!$D:$BL,10,0)</f>
        <v>0</v>
      </c>
      <c r="H25" s="150" t="str">
        <f>VLOOKUP($A$11,'[1]6.2. отчет'!$D:$BL,16,0)</f>
        <v>нд</v>
      </c>
      <c r="I25" s="150" t="str">
        <f>IF(H25=0,0,VLOOKUP($A$11,'[1]6.2. отчет'!$D:$CU,46,0))</f>
        <v>нд</v>
      </c>
      <c r="J25" s="150">
        <f>VLOOKUP($A$11,'[1]6.2. отчет'!$D:$BL,57,0)</f>
        <v>0</v>
      </c>
      <c r="K25" s="150">
        <f>IF(J25=0,0,VLOOKUP($A$11,'[1]6.2. отчет'!$D:$CU,87,0))</f>
        <v>0</v>
      </c>
    </row>
    <row r="26" spans="1:11" s="32" customFormat="1" ht="18.75" customHeight="1" x14ac:dyDescent="0.25">
      <c r="A26" s="169" t="s">
        <v>117</v>
      </c>
      <c r="B26" s="170" t="s">
        <v>116</v>
      </c>
      <c r="C26" s="150" t="str">
        <f t="shared" si="0"/>
        <v>нд</v>
      </c>
      <c r="D26" s="150">
        <f>G26+J26</f>
        <v>0</v>
      </c>
      <c r="E26" s="150">
        <f t="shared" si="1"/>
        <v>0</v>
      </c>
      <c r="F26" s="150">
        <f t="shared" si="2"/>
        <v>0</v>
      </c>
      <c r="G26" s="150">
        <f>VLOOKUP($A$11,'[1]6.2. отчет'!$D:$BL,11,0)</f>
        <v>0</v>
      </c>
      <c r="H26" s="150" t="str">
        <f>VLOOKUP($A$11,'[1]6.2. отчет'!$D:$BL,17,0)</f>
        <v>нд</v>
      </c>
      <c r="I26" s="150" t="str">
        <f>IF(H26=0,0,VLOOKUP($A$11,'[1]6.2. отчет'!$D:$CU,47,0))</f>
        <v>нд</v>
      </c>
      <c r="J26" s="150">
        <f>VLOOKUP($A$11,'[1]6.2. отчет'!$D:$BL,58,0)</f>
        <v>0</v>
      </c>
      <c r="K26" s="150">
        <f>IF(J26=0,0,VLOOKUP($A$11,'[1]6.2. отчет'!$D:$CU,88,0))</f>
        <v>0</v>
      </c>
    </row>
    <row r="27" spans="1:11" s="32" customFormat="1" ht="31.5" x14ac:dyDescent="0.25">
      <c r="A27" s="169" t="s">
        <v>115</v>
      </c>
      <c r="B27" s="170" t="s">
        <v>225</v>
      </c>
      <c r="C27" s="150" t="str">
        <f>IF(C24="нд","нд",C24-(C29+C28+C26+C25))</f>
        <v>нд</v>
      </c>
      <c r="D27" s="150">
        <f>G27+J27+D24-(G24+J24)</f>
        <v>0</v>
      </c>
      <c r="E27" s="150">
        <f>F27+G27</f>
        <v>2.9554151000000002</v>
      </c>
      <c r="F27" s="150">
        <f>F24-(F25+F26+F28+F29)</f>
        <v>2.9554151000000002</v>
      </c>
      <c r="G27" s="150">
        <f>VLOOKUP($A$11,'[1]6.2. отчет'!$D:$BL,12,0)</f>
        <v>0</v>
      </c>
      <c r="H27" s="150" t="str">
        <f>VLOOKUP($A$11,'[1]6.2. отчет'!$D:$BL,18,0)</f>
        <v>нд</v>
      </c>
      <c r="I27" s="150" t="str">
        <f>IF(H27=0,0,VLOOKUP($A$11,'[1]6.2. отчет'!$D:$CU,48,0))</f>
        <v>нд</v>
      </c>
      <c r="J27" s="150">
        <f>VLOOKUP($A$11,'[1]6.2. отчет'!$D:$BL,59,0)</f>
        <v>0</v>
      </c>
      <c r="K27" s="150">
        <f>IF(J27=0,0,VLOOKUP($A$11,'[1]6.2. отчет'!$D:$CU,89,0))</f>
        <v>0</v>
      </c>
    </row>
    <row r="28" spans="1:11" s="32" customFormat="1" ht="18.75" customHeight="1" x14ac:dyDescent="0.25">
      <c r="A28" s="169" t="s">
        <v>114</v>
      </c>
      <c r="B28" s="170" t="s">
        <v>113</v>
      </c>
      <c r="C28" s="150" t="str">
        <f>H28</f>
        <v>нд</v>
      </c>
      <c r="D28" s="150">
        <f t="shared" ref="D28:D29" si="3">G28+J28</f>
        <v>0</v>
      </c>
      <c r="E28" s="150">
        <f t="shared" si="1"/>
        <v>0</v>
      </c>
      <c r="F28" s="150">
        <v>0</v>
      </c>
      <c r="G28" s="150">
        <f>VLOOKUP($A$11,'[1]6.2. отчет'!$D:$BL,13,0)</f>
        <v>0</v>
      </c>
      <c r="H28" s="150" t="str">
        <f>VLOOKUP($A$11,'[1]6.2. отчет'!$D:$BL,19,0)</f>
        <v>нд</v>
      </c>
      <c r="I28" s="150" t="str">
        <f>IF(H28=0,0,VLOOKUP($A$11,'[1]6.2. отчет'!$D:$CU,49,0))</f>
        <v>нд</v>
      </c>
      <c r="J28" s="150">
        <f>VLOOKUP($A$11,'[1]6.2. отчет'!$D:$BL,60,0)</f>
        <v>0</v>
      </c>
      <c r="K28" s="150">
        <f>IF(J28=0,0,VLOOKUP($A$11,'[1]6.2. отчет'!$D:$CU,90,0))</f>
        <v>0</v>
      </c>
    </row>
    <row r="29" spans="1:11" s="32" customFormat="1" ht="18" customHeight="1" x14ac:dyDescent="0.25">
      <c r="A29" s="169" t="s">
        <v>112</v>
      </c>
      <c r="B29" s="171" t="s">
        <v>111</v>
      </c>
      <c r="C29" s="150" t="str">
        <f>H29</f>
        <v>нд</v>
      </c>
      <c r="D29" s="150">
        <f t="shared" si="3"/>
        <v>0</v>
      </c>
      <c r="E29" s="150">
        <f>F29+G29</f>
        <v>0</v>
      </c>
      <c r="F29" s="150">
        <v>0</v>
      </c>
      <c r="G29" s="150">
        <f>VLOOKUP($A$11,'[1]6.2. отчет'!$D:$BL,14,0)</f>
        <v>0</v>
      </c>
      <c r="H29" s="150" t="str">
        <f>VLOOKUP($A$11,'[1]6.2. отчет'!$D:$BL,20,0)</f>
        <v>нд</v>
      </c>
      <c r="I29" s="150" t="str">
        <f>IF(H29=0,0,VLOOKUP($A$11,'[1]6.2. отчет'!$D:$CU,50,0))</f>
        <v>нд</v>
      </c>
      <c r="J29" s="150">
        <f>VLOOKUP($A$11,'[1]6.2. отчет'!$D:$BL,61,0)</f>
        <v>0</v>
      </c>
      <c r="K29" s="150">
        <f>IF(J29=0,0,VLOOKUP($A$11,'[1]6.2. отчет'!$D:$CU,91,0))</f>
        <v>0</v>
      </c>
    </row>
    <row r="30" spans="1:11" s="32" customFormat="1" ht="47.25" x14ac:dyDescent="0.25">
      <c r="A30" s="167" t="s">
        <v>52</v>
      </c>
      <c r="B30" s="168" t="s">
        <v>110</v>
      </c>
      <c r="C30" s="150" t="str">
        <f>VLOOKUP($A$11,'[1]6.2. отчет'!$D:$DB,99,0)</f>
        <v>нд</v>
      </c>
      <c r="D30" s="150">
        <f>VLOOKUP($A$11,'[1]6.2. отчет'!$D:$FK,106,0)</f>
        <v>2.4628459199999999</v>
      </c>
      <c r="E30" s="150">
        <f>VLOOKUP($A$11,'[1]6.2. отчет'!$D:$FK,108,0)</f>
        <v>2.4628459199999999</v>
      </c>
      <c r="F30" s="150">
        <f>VLOOKUP($A$11,'[1]6.2. отчет'!$D:$FK,109,0)</f>
        <v>2.4628459199999999</v>
      </c>
      <c r="G30" s="172">
        <f>VLOOKUP($A$11,'[1]6.2. отчет'!$D:$FK,110,0)</f>
        <v>0</v>
      </c>
      <c r="H30" s="150" t="str">
        <f>VLOOKUP($A$11,'[1]6.2. отчет'!$D:$FK,115,0)</f>
        <v>нд</v>
      </c>
      <c r="I30" s="150" t="str">
        <f>VLOOKUP($A$11,'[1]6.2. отчет'!$D:$AGP,124,0)</f>
        <v>нд</v>
      </c>
      <c r="J30" s="150">
        <f>VLOOKUP($A$11,'[1]6.2. отчет'!$D:$FK,130,0)</f>
        <v>2.4628459199999999</v>
      </c>
      <c r="K30" s="150">
        <f>VLOOKUP($A$11,'[1]6.2. отчет'!$D:$FK,155,0)</f>
        <v>2.4628459199999999</v>
      </c>
    </row>
    <row r="31" spans="1:11" s="32" customFormat="1" ht="21" customHeight="1" x14ac:dyDescent="0.25">
      <c r="A31" s="167" t="s">
        <v>109</v>
      </c>
      <c r="B31" s="170" t="s">
        <v>108</v>
      </c>
      <c r="C31" s="150" t="str">
        <f>VLOOKUP($A$11,'[1]6.2. отчет'!$D:$DB,100,0)</f>
        <v>нд</v>
      </c>
      <c r="D31" s="150">
        <f>J31</f>
        <v>2.4628459199999999</v>
      </c>
      <c r="E31" s="150">
        <f>F31+G31</f>
        <v>2.4628459199999999</v>
      </c>
      <c r="F31" s="150">
        <f>F30</f>
        <v>2.4628459199999999</v>
      </c>
      <c r="G31" s="172">
        <f>VLOOKUP($A$11,'[1]6.2. отчет'!$D:$FK,111,0)</f>
        <v>0</v>
      </c>
      <c r="H31" s="150" t="s">
        <v>300</v>
      </c>
      <c r="I31" s="150" t="s">
        <v>300</v>
      </c>
      <c r="J31" s="150">
        <f>VLOOKUP($A$11,'[1]6.2. отчет'!$D:$FK,131,0)</f>
        <v>2.4628459199999999</v>
      </c>
      <c r="K31" s="150">
        <f>IF(J31=0,0,VLOOKUP($A$11,'[1]6.2. отчет'!$D:$FK,156,0))</f>
        <v>2.4628459199999999</v>
      </c>
    </row>
    <row r="32" spans="1:11" s="32" customFormat="1" ht="34.5" customHeight="1" x14ac:dyDescent="0.25">
      <c r="A32" s="167" t="s">
        <v>107</v>
      </c>
      <c r="B32" s="170" t="s">
        <v>106</v>
      </c>
      <c r="C32" s="150" t="str">
        <f>VLOOKUP($A$11,'[1]6.2. отчет'!$D:$DB,101,0)</f>
        <v>нд</v>
      </c>
      <c r="D32" s="150">
        <f t="shared" ref="D32:D34" si="4">J32</f>
        <v>0</v>
      </c>
      <c r="E32" s="150">
        <f t="shared" ref="E32:E34" si="5">F32+G32</f>
        <v>0</v>
      </c>
      <c r="F32" s="150">
        <v>0</v>
      </c>
      <c r="G32" s="172">
        <f>VLOOKUP($A$11,'[1]6.2. отчет'!$D:$FK,112,0)</f>
        <v>0</v>
      </c>
      <c r="H32" s="150" t="s">
        <v>300</v>
      </c>
      <c r="I32" s="150" t="s">
        <v>300</v>
      </c>
      <c r="J32" s="150">
        <f>VLOOKUP($A$11,'[1]6.2. отчет'!$D:$FK,132,0)</f>
        <v>0</v>
      </c>
      <c r="K32" s="150">
        <f>IF(J32=0,0,VLOOKUP($A$11,'[1]6.2. отчет'!$D:$FK,157,0))</f>
        <v>0</v>
      </c>
    </row>
    <row r="33" spans="1:11" s="32" customFormat="1" ht="20.25" customHeight="1" x14ac:dyDescent="0.25">
      <c r="A33" s="167" t="s">
        <v>105</v>
      </c>
      <c r="B33" s="170" t="s">
        <v>104</v>
      </c>
      <c r="C33" s="150" t="str">
        <f>VLOOKUP($A$11,'[1]6.2. отчет'!$D:$DB,102,0)</f>
        <v>нд</v>
      </c>
      <c r="D33" s="150">
        <f t="shared" si="4"/>
        <v>0</v>
      </c>
      <c r="E33" s="150">
        <f t="shared" si="5"/>
        <v>0</v>
      </c>
      <c r="F33" s="150">
        <v>0</v>
      </c>
      <c r="G33" s="172">
        <f>VLOOKUP($A$11,'[1]6.2. отчет'!$D:$FK,113,0)</f>
        <v>0</v>
      </c>
      <c r="H33" s="150" t="s">
        <v>300</v>
      </c>
      <c r="I33" s="150" t="s">
        <v>300</v>
      </c>
      <c r="J33" s="150">
        <f>VLOOKUP($A$11,'[1]6.2. отчет'!$D:$FK,133,0)</f>
        <v>0</v>
      </c>
      <c r="K33" s="150">
        <f>IF(J33=0,0,VLOOKUP($A$11,'[1]6.2. отчет'!$D:$FK,158,0))</f>
        <v>0</v>
      </c>
    </row>
    <row r="34" spans="1:11" s="32" customFormat="1" ht="17.25" customHeight="1" x14ac:dyDescent="0.25">
      <c r="A34" s="167" t="s">
        <v>103</v>
      </c>
      <c r="B34" s="170" t="s">
        <v>102</v>
      </c>
      <c r="C34" s="150" t="str">
        <f>VLOOKUP($A$11,'[1]6.2. отчет'!$D:$DB,103,0)</f>
        <v>нд</v>
      </c>
      <c r="D34" s="150">
        <f t="shared" si="4"/>
        <v>0</v>
      </c>
      <c r="E34" s="150">
        <f t="shared" si="5"/>
        <v>0</v>
      </c>
      <c r="F34" s="150">
        <v>0</v>
      </c>
      <c r="G34" s="172">
        <f>VLOOKUP($A$11,'[1]6.2. отчет'!$D:$FK,114,0)</f>
        <v>0</v>
      </c>
      <c r="H34" s="150" t="s">
        <v>300</v>
      </c>
      <c r="I34" s="150" t="s">
        <v>300</v>
      </c>
      <c r="J34" s="150">
        <f>VLOOKUP($A$11,'[1]6.2. отчет'!$D:$FK,134,0)</f>
        <v>0</v>
      </c>
      <c r="K34" s="150">
        <f>IF(J34=0,0,VLOOKUP($A$11,'[1]6.2. отчет'!$D:$FK,159,0))</f>
        <v>0</v>
      </c>
    </row>
    <row r="35" spans="1:11" s="86" customFormat="1" ht="31.5" x14ac:dyDescent="0.25">
      <c r="A35" s="167" t="s">
        <v>51</v>
      </c>
      <c r="B35" s="168" t="s">
        <v>101</v>
      </c>
      <c r="C35" s="150"/>
      <c r="D35" s="150"/>
      <c r="E35" s="150"/>
      <c r="F35" s="150"/>
      <c r="G35" s="150"/>
      <c r="H35" s="150"/>
      <c r="I35" s="151"/>
      <c r="J35" s="150"/>
      <c r="K35" s="151"/>
    </row>
    <row r="36" spans="1:11" s="32" customFormat="1" ht="31.5" x14ac:dyDescent="0.25">
      <c r="A36" s="169" t="s">
        <v>100</v>
      </c>
      <c r="B36" s="173" t="s">
        <v>99</v>
      </c>
      <c r="C36" s="150" t="str">
        <f>IF('1. паспорт местоположение'!$C$22="Прочие инвестиционные проекты",0,VLOOKUP($A$11,'[1]6.2. отчет'!$D:$FX,168,0))</f>
        <v>нд</v>
      </c>
      <c r="D36" s="179">
        <v>0</v>
      </c>
      <c r="E36" s="150">
        <f>F36+G36</f>
        <v>0</v>
      </c>
      <c r="F36" s="150">
        <v>0</v>
      </c>
      <c r="G36" s="150">
        <v>0</v>
      </c>
      <c r="H36" s="150" t="str">
        <f>IF('1. паспорт местоположение'!$C$22="Прочие инвестиционные проекты",0,VLOOKUP($A$11,'[1]6.2. отчет'!$D:$AGO,191,0))</f>
        <v>нд</v>
      </c>
      <c r="I36" s="150" t="str">
        <f>IF('1. паспорт местоположение'!$C$22="Прочие инвестиционные проекты",0,VLOOKUP($A$11,'[1]6.2. отчет'!$D:$AGO,246,0))</f>
        <v>нд</v>
      </c>
      <c r="J36" s="150">
        <f>IF('1. паспорт местоположение'!$C$22="Прочие инвестиционные проекты",0,VLOOKUP($A$11,'[1]6.2. отчет'!$D:$AGO,257,0))</f>
        <v>0</v>
      </c>
      <c r="K36" s="150">
        <f>IF('1. паспорт местоположение'!$C$22="Прочие инвестиционные проекты",0,VLOOKUP($A$11,'[1]6.2. отчет'!$D:$AGO,312,0))</f>
        <v>0</v>
      </c>
    </row>
    <row r="37" spans="1:11" s="32" customFormat="1" x14ac:dyDescent="0.25">
      <c r="A37" s="169" t="s">
        <v>98</v>
      </c>
      <c r="B37" s="173" t="s">
        <v>88</v>
      </c>
      <c r="C37" s="150" t="str">
        <f>IF('1. паспорт местоположение'!$C$22="Прочие инвестиционные проекты",0,VLOOKUP($A$11,'[1]6.2. отчет'!$D:$FX,169,0))</f>
        <v>нд</v>
      </c>
      <c r="D37" s="179">
        <f>VLOOKUP($A$11,'[1]6.2. отчет'!$D:$OZ,410,0)</f>
        <v>0</v>
      </c>
      <c r="E37" s="150">
        <f t="shared" ref="E37:E57" si="6">F37+G37</f>
        <v>0</v>
      </c>
      <c r="F37" s="150">
        <v>0</v>
      </c>
      <c r="G37" s="150">
        <v>0</v>
      </c>
      <c r="H37" s="150" t="str">
        <f>IF('1. паспорт местоположение'!$C$22="Прочие инвестиционные проекты",0,VLOOKUP($A$11,'[1]6.2. отчет'!$D:$AGO,192,0))</f>
        <v>нд</v>
      </c>
      <c r="I37" s="150" t="str">
        <f>IF('1. паспорт местоположение'!$C$22="Прочие инвестиционные проекты",0,VLOOKUP($A$11,'[1]6.2. отчет'!$D:$AGO,247,0))</f>
        <v>нд</v>
      </c>
      <c r="J37" s="150">
        <f>IF('1. паспорт местоположение'!$C$22="Прочие инвестиционные проекты",0,VLOOKUP($A$11,'[1]6.2. отчет'!$D:$AGO,258,0))</f>
        <v>0</v>
      </c>
      <c r="K37" s="150">
        <f>IF('1. паспорт местоположение'!$C$22="Прочие инвестиционные проекты",0,VLOOKUP($A$11,'[1]6.2. отчет'!$D:$AGO,313,0))</f>
        <v>0</v>
      </c>
    </row>
    <row r="38" spans="1:11" s="32" customFormat="1" x14ac:dyDescent="0.25">
      <c r="A38" s="169" t="s">
        <v>97</v>
      </c>
      <c r="B38" s="173" t="s">
        <v>86</v>
      </c>
      <c r="C38" s="150" t="str">
        <f>IF('1. паспорт местоположение'!$C$22="Прочие инвестиционные проекты",0,VLOOKUP($A$11,'[1]6.2. отчет'!$D:$FX,170,0))</f>
        <v>нд</v>
      </c>
      <c r="D38" s="179">
        <f>VLOOKUP($A$11,'[1]6.2. отчет'!$D:$OZ,411,0)</f>
        <v>0</v>
      </c>
      <c r="E38" s="150">
        <f t="shared" si="6"/>
        <v>0</v>
      </c>
      <c r="F38" s="150">
        <v>0</v>
      </c>
      <c r="G38" s="150">
        <v>0</v>
      </c>
      <c r="H38" s="150" t="str">
        <f>IF('1. паспорт местоположение'!$C$22="Прочие инвестиционные проекты",0,VLOOKUP($A$11,'[1]6.2. отчет'!$D:$AGO,193,0))</f>
        <v>нд</v>
      </c>
      <c r="I38" s="150" t="str">
        <f>IF('1. паспорт местоположение'!$C$22="Прочие инвестиционные проекты",0,VLOOKUP($A$11,'[1]6.2. отчет'!$D:$AGO,248,0))</f>
        <v>нд</v>
      </c>
      <c r="J38" s="150">
        <f>IF('1. паспорт местоположение'!$C$22="Прочие инвестиционные проекты",0,VLOOKUP($A$11,'[1]6.2. отчет'!$D:$AGO,259,0))</f>
        <v>0</v>
      </c>
      <c r="K38" s="150">
        <f>IF('1. паспорт местоположение'!$C$22="Прочие инвестиционные проекты",0,VLOOKUP($A$11,'[1]6.2. отчет'!$D:$AGO,314,0))</f>
        <v>0</v>
      </c>
    </row>
    <row r="39" spans="1:11" s="32" customFormat="1" ht="31.5" x14ac:dyDescent="0.25">
      <c r="A39" s="169" t="s">
        <v>96</v>
      </c>
      <c r="B39" s="170" t="s">
        <v>84</v>
      </c>
      <c r="C39" s="150" t="str">
        <f>IF('1. паспорт местоположение'!$C$22="Прочие инвестиционные проекты",0,VLOOKUP($A$11,'[1]6.2. отчет'!$D:$FX,172,0))</f>
        <v>нд</v>
      </c>
      <c r="D39" s="179">
        <f>VLOOKUP($A$11,'[1]6.2. отчет'!$D:$OZ,409,0)</f>
        <v>0</v>
      </c>
      <c r="E39" s="150">
        <f t="shared" si="6"/>
        <v>0</v>
      </c>
      <c r="F39" s="150">
        <v>0</v>
      </c>
      <c r="G39" s="150">
        <v>0</v>
      </c>
      <c r="H39" s="150" t="str">
        <f>IF('1. паспорт местоположение'!$C$22="Прочие инвестиционные проекты",0,VLOOKUP($A$11,'[1]6.2. отчет'!$D:$AGO,195,0))</f>
        <v>нд</v>
      </c>
      <c r="I39" s="150" t="str">
        <f>IF('1. паспорт местоположение'!$C$22="Прочие инвестиционные проекты",0,VLOOKUP($A$11,'[1]6.2. отчет'!$D:$AGO,250,0))</f>
        <v>нд</v>
      </c>
      <c r="J39" s="150">
        <f>IF('1. паспорт местоположение'!$C$22="Прочие инвестиционные проекты",0,VLOOKUP($A$11,'[1]6.2. отчет'!$D:$AGO,261,0))</f>
        <v>0</v>
      </c>
      <c r="K39" s="150">
        <f>IF('1. паспорт местоположение'!$C$22="Прочие инвестиционные проекты",0,VLOOKUP($A$11,'[1]6.2. отчет'!$D:$AGO,316,0))</f>
        <v>0</v>
      </c>
    </row>
    <row r="40" spans="1:11" s="32" customFormat="1" ht="31.5" x14ac:dyDescent="0.25">
      <c r="A40" s="169" t="s">
        <v>95</v>
      </c>
      <c r="B40" s="170" t="s">
        <v>82</v>
      </c>
      <c r="C40" s="150" t="str">
        <f>IF('1. паспорт местоположение'!$C$22="Прочие инвестиционные проекты",0,VLOOKUP($A$11,'[1]6.2. отчет'!$D:$FX,173,0))</f>
        <v>нд</v>
      </c>
      <c r="D40" s="179">
        <v>0</v>
      </c>
      <c r="E40" s="150">
        <f t="shared" si="6"/>
        <v>0</v>
      </c>
      <c r="F40" s="150">
        <v>0</v>
      </c>
      <c r="G40" s="150">
        <v>0</v>
      </c>
      <c r="H40" s="150" t="str">
        <f>IF('1. паспорт местоположение'!$C$22="Прочие инвестиционные проекты",0,VLOOKUP($A$11,'[1]6.2. отчет'!$D:$AGO,196,0))</f>
        <v>нд</v>
      </c>
      <c r="I40" s="150" t="str">
        <f>IF('1. паспорт местоположение'!$C$22="Прочие инвестиционные проекты",0,VLOOKUP($A$11,'[1]6.2. отчет'!$D:$AGO,251,0))</f>
        <v>нд</v>
      </c>
      <c r="J40" s="150">
        <f>IF('1. паспорт местоположение'!$C$22="Прочие инвестиционные проекты",0,VLOOKUP($A$11,'[1]6.2. отчет'!$D:$AGO,262,0))</f>
        <v>0</v>
      </c>
      <c r="K40" s="150">
        <f>IF('1. паспорт местоположение'!$C$22="Прочие инвестиционные проекты",0,VLOOKUP($A$11,'[1]6.2. отчет'!$D:$AGO,317,0))</f>
        <v>0</v>
      </c>
    </row>
    <row r="41" spans="1:11" s="32" customFormat="1" x14ac:dyDescent="0.25">
      <c r="A41" s="169" t="s">
        <v>94</v>
      </c>
      <c r="B41" s="170" t="s">
        <v>80</v>
      </c>
      <c r="C41" s="150" t="str">
        <f>IF('1. паспорт местоположение'!$C$22="Прочие инвестиционные проекты",0,VLOOKUP($A$11,'[1]6.2. отчет'!$D:$FX,174,0))</f>
        <v>нд</v>
      </c>
      <c r="D41" s="179">
        <v>0</v>
      </c>
      <c r="E41" s="150">
        <f t="shared" si="6"/>
        <v>0</v>
      </c>
      <c r="F41" s="150">
        <v>0</v>
      </c>
      <c r="G41" s="150">
        <v>0</v>
      </c>
      <c r="H41" s="150" t="str">
        <f>IF('1. паспорт местоположение'!$C$22="Прочие инвестиционные проекты",0,VLOOKUP($A$11,'[1]6.2. отчет'!$D:$AGO,197,0))</f>
        <v>нд</v>
      </c>
      <c r="I41" s="150" t="str">
        <f>IF('1. паспорт местоположение'!$C$22="Прочие инвестиционные проекты",0,VLOOKUP($A$11,'[1]6.2. отчет'!$D:$AGO,252,0))</f>
        <v>нд</v>
      </c>
      <c r="J41" s="150">
        <f>IF('1. паспорт местоположение'!$C$22="Прочие инвестиционные проекты",0,VLOOKUP($A$11,'[1]6.2. отчет'!$D:$AGO,263,0))</f>
        <v>0</v>
      </c>
      <c r="K41" s="150">
        <f>IF('1. паспорт местоположение'!$C$22="Прочие инвестиционные проекты",0,VLOOKUP($A$11,'[1]6.2. отчет'!$D:$AGO,318,0))</f>
        <v>0</v>
      </c>
    </row>
    <row r="42" spans="1:11" s="32" customFormat="1" x14ac:dyDescent="0.25">
      <c r="A42" s="169" t="s">
        <v>93</v>
      </c>
      <c r="B42" s="173" t="s">
        <v>448</v>
      </c>
      <c r="C42" s="150" t="str">
        <f>IF('1. паспорт местоположение'!$C$22="Прочие инвестиционные проекты",0,VLOOKUP($A$11,'[1]6.2. отчет'!$D:$FX,177,0))</f>
        <v>нд</v>
      </c>
      <c r="D42" s="179">
        <f>VLOOKUP($A$11,'[1]6.2. отчет'!$D:$OZ,412,0)</f>
        <v>0</v>
      </c>
      <c r="E42" s="150">
        <f t="shared" si="6"/>
        <v>0</v>
      </c>
      <c r="F42" s="150">
        <v>0</v>
      </c>
      <c r="G42" s="150">
        <v>0</v>
      </c>
      <c r="H42" s="150" t="str">
        <f>IF('1. паспорт местоположение'!$C$22="Прочие инвестиционные проекты",0,VLOOKUP($A$11,'[1]6.2. отчет'!$D:$AGO,200,0))</f>
        <v>нд</v>
      </c>
      <c r="I42" s="150" t="str">
        <f>IF('1. паспорт местоположение'!$C$22="Прочие инвестиционные проекты",0,VLOOKUP($A$11,'[1]6.2. отчет'!$D:$AGO,255,0))</f>
        <v>нд</v>
      </c>
      <c r="J42" s="150">
        <f>IF('1. паспорт местоположение'!$C$22="Прочие инвестиционные проекты",0,VLOOKUP($A$11,'[1]6.2. отчет'!$D:$AGO,266,0))</f>
        <v>0</v>
      </c>
      <c r="K42" s="150">
        <f>IF('1. паспорт местоположение'!$C$22="Прочие инвестиционные проекты",0,VLOOKUP($A$11,'[1]6.2. отчет'!$D:$AGO,321,0))</f>
        <v>0</v>
      </c>
    </row>
    <row r="43" spans="1:11" s="86" customFormat="1" ht="26.25" customHeight="1" x14ac:dyDescent="0.25">
      <c r="A43" s="167" t="s">
        <v>50</v>
      </c>
      <c r="B43" s="168" t="s">
        <v>92</v>
      </c>
      <c r="C43" s="150"/>
      <c r="D43" s="179"/>
      <c r="E43" s="150"/>
      <c r="F43" s="150"/>
      <c r="G43" s="150"/>
      <c r="H43" s="150"/>
      <c r="I43" s="151"/>
      <c r="J43" s="150"/>
      <c r="K43" s="151"/>
    </row>
    <row r="44" spans="1:11" s="32" customFormat="1" x14ac:dyDescent="0.25">
      <c r="A44" s="169" t="s">
        <v>91</v>
      </c>
      <c r="B44" s="170" t="s">
        <v>90</v>
      </c>
      <c r="C44" s="150" t="str">
        <f>VLOOKUP($A$11,'[1]6.2. отчет'!$D:$FX,168,0)</f>
        <v>нд</v>
      </c>
      <c r="D44" s="179">
        <v>0</v>
      </c>
      <c r="E44" s="150">
        <f t="shared" si="6"/>
        <v>0</v>
      </c>
      <c r="F44" s="150">
        <v>0</v>
      </c>
      <c r="G44" s="150">
        <f>VLOOKUP($A$11,'[1]6.2. отчет'!$D:$GJ,180,0)</f>
        <v>0</v>
      </c>
      <c r="H44" s="150" t="str">
        <f>VLOOKUP($A$11,'[1]6.2. отчет'!$D:$AGO,191,0)</f>
        <v>нд</v>
      </c>
      <c r="I44" s="150" t="str">
        <f>VLOOKUP($A$11,'[1]6.2. отчет'!$D:$AGO,246,0)</f>
        <v>нд</v>
      </c>
      <c r="J44" s="150">
        <f>VLOOKUP($A$11,'[1]6.2. отчет'!$D:$AGO,257,0)</f>
        <v>0</v>
      </c>
      <c r="K44" s="150">
        <f>VLOOKUP($A$11,'[1]6.2. отчет'!$D:$AGO,312,0)</f>
        <v>0</v>
      </c>
    </row>
    <row r="45" spans="1:11" s="32" customFormat="1" x14ac:dyDescent="0.25">
      <c r="A45" s="169" t="s">
        <v>89</v>
      </c>
      <c r="B45" s="170" t="s">
        <v>88</v>
      </c>
      <c r="C45" s="150" t="str">
        <f>VLOOKUP($A$11,'[1]6.2. отчет'!$D:$FX,169,0)</f>
        <v>нд</v>
      </c>
      <c r="D45" s="179">
        <f>VLOOKUP($A$11,'[1]6.2. отчет'!$D:$OZ,410,0)</f>
        <v>0</v>
      </c>
      <c r="E45" s="150">
        <f t="shared" si="6"/>
        <v>0</v>
      </c>
      <c r="F45" s="150">
        <v>0</v>
      </c>
      <c r="G45" s="150">
        <f>VLOOKUP($A$11,'[1]6.2. отчет'!$D:$GJ,181,0)</f>
        <v>0</v>
      </c>
      <c r="H45" s="150" t="str">
        <f>VLOOKUP($A$11,'[1]6.2. отчет'!$D:$AGO,192,0)</f>
        <v>нд</v>
      </c>
      <c r="I45" s="150" t="str">
        <f>VLOOKUP($A$11,'[1]6.2. отчет'!$D:$AGO,247,0)</f>
        <v>нд</v>
      </c>
      <c r="J45" s="150">
        <f>VLOOKUP($A$11,'[1]6.2. отчет'!$D:$AGO,258,0)</f>
        <v>0</v>
      </c>
      <c r="K45" s="150">
        <f>VLOOKUP($A$11,'[1]6.2. отчет'!$D:$AGO,313,0)</f>
        <v>0</v>
      </c>
    </row>
    <row r="46" spans="1:11" s="32" customFormat="1" x14ac:dyDescent="0.25">
      <c r="A46" s="169" t="s">
        <v>87</v>
      </c>
      <c r="B46" s="170" t="s">
        <v>86</v>
      </c>
      <c r="C46" s="150" t="str">
        <f>VLOOKUP($A$11,'[1]6.2. отчет'!$D:$FX,170,0)</f>
        <v>нд</v>
      </c>
      <c r="D46" s="179">
        <f>VLOOKUP($A$11,'[1]6.2. отчет'!$D:$OZ,411,0)</f>
        <v>0</v>
      </c>
      <c r="E46" s="150">
        <f t="shared" si="6"/>
        <v>0</v>
      </c>
      <c r="F46" s="150">
        <v>0</v>
      </c>
      <c r="G46" s="150">
        <f>VLOOKUP($A$11,'[1]6.2. отчет'!$D:$GJ,182,0)</f>
        <v>0</v>
      </c>
      <c r="H46" s="150" t="str">
        <f>VLOOKUP($A$11,'[1]6.2. отчет'!$D:$AGO,193,0)</f>
        <v>нд</v>
      </c>
      <c r="I46" s="150" t="str">
        <f>VLOOKUP($A$11,'[1]6.2. отчет'!$D:$AGO,248,0)</f>
        <v>нд</v>
      </c>
      <c r="J46" s="150">
        <f>VLOOKUP($A$11,'[1]6.2. отчет'!$D:$AGO,259,0)</f>
        <v>0</v>
      </c>
      <c r="K46" s="150">
        <f>VLOOKUP($A$11,'[1]6.2. отчет'!$D:$AGO,314,0)</f>
        <v>0</v>
      </c>
    </row>
    <row r="47" spans="1:11" s="32" customFormat="1" ht="31.5" x14ac:dyDescent="0.25">
      <c r="A47" s="169" t="s">
        <v>85</v>
      </c>
      <c r="B47" s="170" t="s">
        <v>84</v>
      </c>
      <c r="C47" s="150" t="str">
        <f>VLOOKUP($A$11,'[1]6.2. отчет'!$D:$FX,172,0)</f>
        <v>нд</v>
      </c>
      <c r="D47" s="179">
        <f>VLOOKUP($A$11,'[1]6.2. отчет'!$D:$OZ,409,0)</f>
        <v>0</v>
      </c>
      <c r="E47" s="150">
        <f t="shared" si="6"/>
        <v>0</v>
      </c>
      <c r="F47" s="150">
        <v>0</v>
      </c>
      <c r="G47" s="150">
        <f>VLOOKUP($A$11,'[1]6.2. отчет'!$D:$GJ,184,0)</f>
        <v>0</v>
      </c>
      <c r="H47" s="150" t="str">
        <f>VLOOKUP($A$11,'[1]6.2. отчет'!$D:$AGO,195,0)</f>
        <v>нд</v>
      </c>
      <c r="I47" s="150" t="str">
        <f>VLOOKUP($A$11,'[1]6.2. отчет'!$D:$AGO,250,0)</f>
        <v>нд</v>
      </c>
      <c r="J47" s="150">
        <f>VLOOKUP($A$11,'[1]6.2. отчет'!$D:$AGO,261,0)</f>
        <v>0</v>
      </c>
      <c r="K47" s="150">
        <f>VLOOKUP($A$11,'[1]6.2. отчет'!$D:$AGO,316,0)</f>
        <v>0</v>
      </c>
    </row>
    <row r="48" spans="1:11" s="32" customFormat="1" ht="31.5" x14ac:dyDescent="0.25">
      <c r="A48" s="169" t="s">
        <v>83</v>
      </c>
      <c r="B48" s="170" t="s">
        <v>82</v>
      </c>
      <c r="C48" s="150" t="str">
        <f>VLOOKUP($A$11,'[1]6.2. отчет'!$D:$FX,173,0)</f>
        <v>нд</v>
      </c>
      <c r="D48" s="179">
        <v>0</v>
      </c>
      <c r="E48" s="150">
        <f t="shared" si="6"/>
        <v>0</v>
      </c>
      <c r="F48" s="150">
        <v>0</v>
      </c>
      <c r="G48" s="150">
        <f>VLOOKUP($A$11,'[1]6.2. отчет'!$D:$GJ,185,0)</f>
        <v>0</v>
      </c>
      <c r="H48" s="150" t="str">
        <f>VLOOKUP($A$11,'[1]6.2. отчет'!$D:$AGO,196,0)</f>
        <v>нд</v>
      </c>
      <c r="I48" s="150" t="str">
        <f>VLOOKUP($A$11,'[1]6.2. отчет'!$D:$AGO,251,0)</f>
        <v>нд</v>
      </c>
      <c r="J48" s="150">
        <f>VLOOKUP($A$11,'[1]6.2. отчет'!$D:$AGO,262,0)</f>
        <v>0</v>
      </c>
      <c r="K48" s="150">
        <f>VLOOKUP($A$11,'[1]6.2. отчет'!$D:$AGO,317,0)</f>
        <v>0</v>
      </c>
    </row>
    <row r="49" spans="1:11" s="32" customFormat="1" x14ac:dyDescent="0.25">
      <c r="A49" s="169" t="s">
        <v>81</v>
      </c>
      <c r="B49" s="170" t="s">
        <v>80</v>
      </c>
      <c r="C49" s="150" t="str">
        <f>VLOOKUP($A$11,'[1]6.2. отчет'!$D:$FX,174,0)</f>
        <v>нд</v>
      </c>
      <c r="D49" s="179">
        <v>0</v>
      </c>
      <c r="E49" s="150">
        <f t="shared" si="6"/>
        <v>0</v>
      </c>
      <c r="F49" s="150">
        <v>0</v>
      </c>
      <c r="G49" s="150">
        <f>VLOOKUP($A$11,'[1]6.2. отчет'!$D:$GJ,186,0)</f>
        <v>0</v>
      </c>
      <c r="H49" s="150" t="str">
        <f>VLOOKUP($A$11,'[1]6.2. отчет'!$D:$AGO,197,0)</f>
        <v>нд</v>
      </c>
      <c r="I49" s="150" t="str">
        <f>VLOOKUP($A$11,'[1]6.2. отчет'!$D:$AGO,252,0)</f>
        <v>нд</v>
      </c>
      <c r="J49" s="150">
        <f>VLOOKUP($A$11,'[1]6.2. отчет'!$D:$AGO,263,0)</f>
        <v>0</v>
      </c>
      <c r="K49" s="150">
        <f>VLOOKUP($A$11,'[1]6.2. отчет'!$D:$AGO,318,0)</f>
        <v>0</v>
      </c>
    </row>
    <row r="50" spans="1:11" s="32" customFormat="1" x14ac:dyDescent="0.25">
      <c r="A50" s="169" t="s">
        <v>79</v>
      </c>
      <c r="B50" s="170" t="s">
        <v>448</v>
      </c>
      <c r="C50" s="150" t="str">
        <f>VLOOKUP($A$11,'[1]6.2. отчет'!$D:$FX,177,0)</f>
        <v>нд</v>
      </c>
      <c r="D50" s="179">
        <f>VLOOKUP($A$11,'[1]6.2. отчет'!$D:$OZ,412,0)</f>
        <v>0</v>
      </c>
      <c r="E50" s="150">
        <f t="shared" si="6"/>
        <v>0</v>
      </c>
      <c r="F50" s="150">
        <v>0</v>
      </c>
      <c r="G50" s="150">
        <f>VLOOKUP($A$11,'[1]6.2. отчет'!$D:$GJ,189,0)</f>
        <v>0</v>
      </c>
      <c r="H50" s="150" t="str">
        <f>VLOOKUP($A$11,'[1]6.2. отчет'!$D:$AGO,200,0)</f>
        <v>нд</v>
      </c>
      <c r="I50" s="150" t="str">
        <f>VLOOKUP($A$11,'[1]6.2. отчет'!$D:$AGO,255,0)</f>
        <v>нд</v>
      </c>
      <c r="J50" s="150">
        <f>VLOOKUP($A$11,'[1]6.2. отчет'!$D:$AGO,266,0)</f>
        <v>0</v>
      </c>
      <c r="K50" s="150">
        <f>VLOOKUP($A$11,'[1]6.2. отчет'!$D:$AGO,321,0)</f>
        <v>0</v>
      </c>
    </row>
    <row r="51" spans="1:11" s="32" customFormat="1" ht="31.5" x14ac:dyDescent="0.25">
      <c r="A51" s="167" t="s">
        <v>48</v>
      </c>
      <c r="B51" s="168" t="s">
        <v>78</v>
      </c>
      <c r="C51" s="150"/>
      <c r="D51" s="179"/>
      <c r="E51" s="150"/>
      <c r="F51" s="150"/>
      <c r="G51" s="150"/>
      <c r="H51" s="150"/>
      <c r="I51" s="151"/>
      <c r="J51" s="150"/>
      <c r="K51" s="151"/>
    </row>
    <row r="52" spans="1:11" s="86" customFormat="1" ht="35.25" customHeight="1" x14ac:dyDescent="0.25">
      <c r="A52" s="169" t="s">
        <v>77</v>
      </c>
      <c r="B52" s="170" t="s">
        <v>76</v>
      </c>
      <c r="C52" s="150" t="str">
        <f>VLOOKUP($A$11,'[1]6.2. отчет'!$D:$FX,167,0)</f>
        <v>нд</v>
      </c>
      <c r="D52" s="179">
        <f>VLOOKUP($A$11,'[1]6.2. отчет'!$D:$OZ,413,0)</f>
        <v>0</v>
      </c>
      <c r="E52" s="150">
        <f t="shared" si="6"/>
        <v>0</v>
      </c>
      <c r="F52" s="150">
        <v>0</v>
      </c>
      <c r="G52" s="150">
        <f>VLOOKUP($A$11,'[1]6.2. отчет'!$D:$GJ,179,0)</f>
        <v>0</v>
      </c>
      <c r="H52" s="150" t="str">
        <f>VLOOKUP($A$11,'[1]6.2. отчет'!$D:$AGO,190,0)</f>
        <v>нд</v>
      </c>
      <c r="I52" s="150" t="str">
        <f>VLOOKUP($A$11,'[1]6.2. отчет'!$D:$AGO,245,0)</f>
        <v>нд</v>
      </c>
      <c r="J52" s="150">
        <f>VLOOKUP($A$11,'[1]6.2. отчет'!$D:$AGO,256,0)</f>
        <v>0</v>
      </c>
      <c r="K52" s="150">
        <f>VLOOKUP($A$11,'[1]6.2. отчет'!$D:$AGO,311,0)</f>
        <v>0</v>
      </c>
    </row>
    <row r="53" spans="1:11" s="32" customFormat="1" ht="26.25" customHeight="1" x14ac:dyDescent="0.25">
      <c r="A53" s="169" t="s">
        <v>75</v>
      </c>
      <c r="B53" s="170" t="s">
        <v>69</v>
      </c>
      <c r="C53" s="150" t="str">
        <f>VLOOKUP($A$11,'[1]6.2. отчет'!$D:$FX,168,0)</f>
        <v>нд</v>
      </c>
      <c r="D53" s="179">
        <v>0</v>
      </c>
      <c r="E53" s="150">
        <f t="shared" si="6"/>
        <v>0</v>
      </c>
      <c r="F53" s="150">
        <v>0</v>
      </c>
      <c r="G53" s="150">
        <f>VLOOKUP($A$11,'[1]6.2. отчет'!$D:$GJ,180,0)</f>
        <v>0</v>
      </c>
      <c r="H53" s="150" t="str">
        <f>VLOOKUP($A$11,'[1]6.2. отчет'!$D:$AGO,191,0)</f>
        <v>нд</v>
      </c>
      <c r="I53" s="150" t="str">
        <f>VLOOKUP($A$11,'[1]6.2. отчет'!$D:$AGO,246,0)</f>
        <v>нд</v>
      </c>
      <c r="J53" s="150">
        <f>VLOOKUP($A$11,'[1]6.2. отчет'!$D:$AGO,257,0)</f>
        <v>0</v>
      </c>
      <c r="K53" s="150">
        <f>VLOOKUP($A$11,'[1]6.2. отчет'!$D:$AGO,312,0)</f>
        <v>0</v>
      </c>
    </row>
    <row r="54" spans="1:11" s="32" customFormat="1" x14ac:dyDescent="0.25">
      <c r="A54" s="169" t="s">
        <v>74</v>
      </c>
      <c r="B54" s="173" t="s">
        <v>68</v>
      </c>
      <c r="C54" s="150" t="str">
        <f>VLOOKUP($A$11,'[1]6.2. отчет'!$D:$FX,169,0)</f>
        <v>нд</v>
      </c>
      <c r="D54" s="179">
        <f>VLOOKUP($A$11,'[1]6.2. отчет'!$D:$OZ,410,0)</f>
        <v>0</v>
      </c>
      <c r="E54" s="150">
        <f t="shared" si="6"/>
        <v>0</v>
      </c>
      <c r="F54" s="150">
        <v>0</v>
      </c>
      <c r="G54" s="150">
        <f>VLOOKUP($A$11,'[1]6.2. отчет'!$D:$GJ,181,0)</f>
        <v>0</v>
      </c>
      <c r="H54" s="150" t="str">
        <f>VLOOKUP($A$11,'[1]6.2. отчет'!$D:$AGO,192,0)</f>
        <v>нд</v>
      </c>
      <c r="I54" s="150" t="str">
        <f>VLOOKUP($A$11,'[1]6.2. отчет'!$D:$AGO,247,0)</f>
        <v>нд</v>
      </c>
      <c r="J54" s="150">
        <f>VLOOKUP($A$11,'[1]6.2. отчет'!$D:$AGO,258,0)</f>
        <v>0</v>
      </c>
      <c r="K54" s="150">
        <f>VLOOKUP($A$11,'[1]6.2. отчет'!$D:$AGO,313,0)</f>
        <v>0</v>
      </c>
    </row>
    <row r="55" spans="1:11" s="32" customFormat="1" x14ac:dyDescent="0.25">
      <c r="A55" s="169" t="s">
        <v>73</v>
      </c>
      <c r="B55" s="173" t="s">
        <v>67</v>
      </c>
      <c r="C55" s="150" t="str">
        <f>VLOOKUP($A$11,'[1]6.2. отчет'!$D:$FX,170,0)</f>
        <v>нд</v>
      </c>
      <c r="D55" s="179">
        <f>VLOOKUP($A$11,'[1]6.2. отчет'!$D:$OZ,411,0)</f>
        <v>0</v>
      </c>
      <c r="E55" s="150">
        <f t="shared" si="6"/>
        <v>0</v>
      </c>
      <c r="F55" s="150">
        <v>0</v>
      </c>
      <c r="G55" s="150">
        <f>VLOOKUP($A$11,'[1]6.2. отчет'!$D:$GJ,182,0)</f>
        <v>0</v>
      </c>
      <c r="H55" s="150" t="str">
        <f>VLOOKUP($A$11,'[1]6.2. отчет'!$D:$AGO,193,0)</f>
        <v>нд</v>
      </c>
      <c r="I55" s="150" t="str">
        <f>VLOOKUP($A$11,'[1]6.2. отчет'!$D:$AGO,248,0)</f>
        <v>нд</v>
      </c>
      <c r="J55" s="150">
        <f>VLOOKUP($A$11,'[1]6.2. отчет'!$D:$AGO,259,0)</f>
        <v>0</v>
      </c>
      <c r="K55" s="150">
        <f>VLOOKUP($A$11,'[1]6.2. отчет'!$D:$AGO,314,0)</f>
        <v>0</v>
      </c>
    </row>
    <row r="56" spans="1:11" s="32" customFormat="1" x14ac:dyDescent="0.25">
      <c r="A56" s="169" t="s">
        <v>72</v>
      </c>
      <c r="B56" s="173" t="s">
        <v>66</v>
      </c>
      <c r="C56" s="150" t="str">
        <f>VLOOKUP($A$11,'[1]6.2. отчет'!$D:$FX,171,0)</f>
        <v>нд</v>
      </c>
      <c r="D56" s="179">
        <f>VLOOKUP($A$11,'[1]6.2. отчет'!$D:$OZ,409,0)</f>
        <v>0</v>
      </c>
      <c r="E56" s="150">
        <f t="shared" si="6"/>
        <v>0</v>
      </c>
      <c r="F56" s="150">
        <v>0</v>
      </c>
      <c r="G56" s="150">
        <f>VLOOKUP($A$11,'[1]6.2. отчет'!$D:$GJ,183,0)</f>
        <v>0</v>
      </c>
      <c r="H56" s="150" t="str">
        <f>VLOOKUP($A$11,'[1]6.2. отчет'!$D:$AGO,194,0)</f>
        <v>нд</v>
      </c>
      <c r="I56" s="150" t="str">
        <f>VLOOKUP($A$11,'[1]6.2. отчет'!$D:$AGO,249,0)</f>
        <v>нд</v>
      </c>
      <c r="J56" s="150">
        <f>VLOOKUP($A$11,'[1]6.2. отчет'!$D:$AGO,260,0)</f>
        <v>0</v>
      </c>
      <c r="K56" s="150">
        <f>VLOOKUP($A$11,'[1]6.2. отчет'!$D:$AGO,315,0)</f>
        <v>0</v>
      </c>
    </row>
    <row r="57" spans="1:11" s="32" customFormat="1" x14ac:dyDescent="0.25">
      <c r="A57" s="169" t="s">
        <v>71</v>
      </c>
      <c r="B57" s="170" t="s">
        <v>448</v>
      </c>
      <c r="C57" s="150" t="str">
        <f>VLOOKUP($A$11,'[1]6.2. отчет'!$D:$FX,177,0)</f>
        <v>нд</v>
      </c>
      <c r="D57" s="179">
        <f>VLOOKUP($A$11,'[1]6.2. отчет'!$D:$OZ,412,0)</f>
        <v>0</v>
      </c>
      <c r="E57" s="150">
        <f t="shared" si="6"/>
        <v>0</v>
      </c>
      <c r="F57" s="150">
        <v>0</v>
      </c>
      <c r="G57" s="150">
        <f>VLOOKUP($A$11,'[1]6.2. отчет'!$D:$GJ,189,0)</f>
        <v>0</v>
      </c>
      <c r="H57" s="150" t="str">
        <f>VLOOKUP($A$11,'[1]6.2. отчет'!$D:$AGO,200,0)</f>
        <v>нд</v>
      </c>
      <c r="I57" s="150" t="str">
        <f>VLOOKUP($A$11,'[1]6.2. отчет'!$D:$AGO,255,0)</f>
        <v>нд</v>
      </c>
      <c r="J57" s="150">
        <f>VLOOKUP($A$11,'[1]6.2. отчет'!$D:$AGO,266,0)</f>
        <v>0</v>
      </c>
      <c r="K57" s="150">
        <f>VLOOKUP($A$11,'[1]6.2. отчет'!$D:$AGO,321,0)</f>
        <v>0</v>
      </c>
    </row>
    <row r="58" spans="1:11" s="32" customFormat="1" ht="31.5" x14ac:dyDescent="0.25">
      <c r="A58" s="167" t="s">
        <v>47</v>
      </c>
      <c r="B58" s="174" t="s">
        <v>165</v>
      </c>
      <c r="C58" s="150"/>
      <c r="D58" s="150"/>
      <c r="E58" s="150"/>
      <c r="F58" s="150"/>
      <c r="G58" s="150"/>
      <c r="H58" s="150"/>
      <c r="I58" s="151"/>
      <c r="J58" s="150"/>
      <c r="K58" s="151"/>
    </row>
    <row r="59" spans="1:11" s="32" customFormat="1" x14ac:dyDescent="0.25">
      <c r="A59" s="167" t="s">
        <v>45</v>
      </c>
      <c r="B59" s="168" t="s">
        <v>70</v>
      </c>
      <c r="C59" s="150"/>
      <c r="D59" s="150"/>
      <c r="E59" s="150"/>
      <c r="F59" s="150"/>
      <c r="G59" s="150"/>
      <c r="H59" s="150"/>
      <c r="I59" s="151"/>
      <c r="J59" s="150"/>
      <c r="K59" s="151"/>
    </row>
    <row r="60" spans="1:11" s="86" customFormat="1" ht="36.75" customHeight="1" x14ac:dyDescent="0.25">
      <c r="A60" s="169" t="s">
        <v>159</v>
      </c>
      <c r="B60" s="175" t="s">
        <v>90</v>
      </c>
      <c r="C60" s="150" t="str">
        <f>VLOOKUP($A$11,'[1]6.2. отчет'!$D:$AGO,326,0)</f>
        <v>нд</v>
      </c>
      <c r="D60" s="150">
        <f t="shared" ref="D60:D63" si="7">J60</f>
        <v>0</v>
      </c>
      <c r="E60" s="150">
        <f t="shared" ref="E60:E64" si="8">F60+G60</f>
        <v>0</v>
      </c>
      <c r="F60" s="150">
        <v>0</v>
      </c>
      <c r="G60" s="150">
        <f>VLOOKUP($A$11,'[1]6.2. отчет'!$D:$AGO,333,0)</f>
        <v>0</v>
      </c>
      <c r="H60" s="150" t="str">
        <f>VLOOKUP($A$11,'[1]6.2. отчет'!$D:$AGO,341,0)</f>
        <v>нд</v>
      </c>
      <c r="I60" s="150" t="str">
        <f>VLOOKUP($A$11,'[1]6.2. отчет'!$D:$AGO,366,0)</f>
        <v>нд</v>
      </c>
      <c r="J60" s="150">
        <f>VLOOKUP($A$11,'[1]6.2. отчет'!$D:$AGO,371,0)</f>
        <v>0</v>
      </c>
      <c r="K60" s="150">
        <f>VLOOKUP($A$11,'[1]6.2. отчет'!$D:$AGO,396,0)</f>
        <v>0</v>
      </c>
    </row>
    <row r="61" spans="1:11" s="32" customFormat="1" x14ac:dyDescent="0.25">
      <c r="A61" s="169" t="s">
        <v>160</v>
      </c>
      <c r="B61" s="175" t="s">
        <v>88</v>
      </c>
      <c r="C61" s="150" t="str">
        <f>VLOOKUP($A$11,'[1]6.2. отчет'!$D:$AGO,327,0)</f>
        <v>нд</v>
      </c>
      <c r="D61" s="150">
        <f t="shared" si="7"/>
        <v>0</v>
      </c>
      <c r="E61" s="150">
        <f t="shared" si="8"/>
        <v>0</v>
      </c>
      <c r="F61" s="150">
        <v>0</v>
      </c>
      <c r="G61" s="150">
        <f>VLOOKUP($A$11,'[1]6.2. отчет'!$D:$AGO,334,0)</f>
        <v>0</v>
      </c>
      <c r="H61" s="150" t="str">
        <f>VLOOKUP($A$11,'[1]6.2. отчет'!$D:$AGO,338,0)</f>
        <v>нд</v>
      </c>
      <c r="I61" s="150" t="str">
        <f>VLOOKUP($A$11,'[1]6.2. отчет'!$D:$AGO,363,0)</f>
        <v>нд</v>
      </c>
      <c r="J61" s="150">
        <f>VLOOKUP($A$11,'[1]6.2. отчет'!$D:$AGO,368,0)</f>
        <v>0</v>
      </c>
      <c r="K61" s="150">
        <f>VLOOKUP($A$11,'[1]6.2. отчет'!$D:$AGO,393,0)</f>
        <v>0</v>
      </c>
    </row>
    <row r="62" spans="1:11" s="32" customFormat="1" x14ac:dyDescent="0.25">
      <c r="A62" s="169" t="s">
        <v>161</v>
      </c>
      <c r="B62" s="175" t="s">
        <v>86</v>
      </c>
      <c r="C62" s="150" t="str">
        <f>VLOOKUP($A$11,'[1]6.2. отчет'!$D:$AGO,328,0)</f>
        <v>нд</v>
      </c>
      <c r="D62" s="150">
        <f t="shared" si="7"/>
        <v>0</v>
      </c>
      <c r="E62" s="150">
        <f t="shared" si="8"/>
        <v>0</v>
      </c>
      <c r="F62" s="150">
        <v>0</v>
      </c>
      <c r="G62" s="150">
        <f>VLOOKUP($A$11,'[1]6.2. отчет'!$D:$AGO,335,0)</f>
        <v>0</v>
      </c>
      <c r="H62" s="150" t="str">
        <f>VLOOKUP($A$11,'[1]6.2. отчет'!$D:$AGO,339,0)</f>
        <v>нд</v>
      </c>
      <c r="I62" s="150" t="str">
        <f>VLOOKUP($A$11,'[1]6.2. отчет'!$D:$AGO,364,0)</f>
        <v>нд</v>
      </c>
      <c r="J62" s="150">
        <f>VLOOKUP($A$11,'[1]6.2. отчет'!$D:$AGO,369,0)</f>
        <v>0</v>
      </c>
      <c r="K62" s="150">
        <f>VLOOKUP($A$11,'[1]6.2. отчет'!$D:$AGO,394,0)</f>
        <v>0</v>
      </c>
    </row>
    <row r="63" spans="1:11" s="32" customFormat="1" x14ac:dyDescent="0.25">
      <c r="A63" s="169" t="s">
        <v>162</v>
      </c>
      <c r="B63" s="175" t="s">
        <v>164</v>
      </c>
      <c r="C63" s="150" t="str">
        <f>VLOOKUP($A$11,'[1]6.2. отчет'!$D:$AGO,329,0)</f>
        <v>нд</v>
      </c>
      <c r="D63" s="150">
        <f t="shared" si="7"/>
        <v>0</v>
      </c>
      <c r="E63" s="150">
        <f t="shared" si="8"/>
        <v>0</v>
      </c>
      <c r="F63" s="150">
        <v>0</v>
      </c>
      <c r="G63" s="150">
        <f>VLOOKUP($A$11,'[1]6.2. отчет'!$D:$AGO,336,0)</f>
        <v>0</v>
      </c>
      <c r="H63" s="150" t="str">
        <f>VLOOKUP($A$11,'[1]6.2. отчет'!$D:$AGO,340,0)</f>
        <v>нд</v>
      </c>
      <c r="I63" s="150" t="str">
        <f>VLOOKUP($A$11,'[1]6.2. отчет'!$D:$AGO,365,0)</f>
        <v>нд</v>
      </c>
      <c r="J63" s="150">
        <f>VLOOKUP($A$11,'[1]6.2. отчет'!$D:$AGO,370,0)</f>
        <v>0</v>
      </c>
      <c r="K63" s="150">
        <f>VLOOKUP($A$11,'[1]6.2. отчет'!$D:$AGO,395,0)</f>
        <v>0</v>
      </c>
    </row>
    <row r="64" spans="1:11" s="32" customFormat="1" ht="18.75" x14ac:dyDescent="0.25">
      <c r="A64" s="169" t="s">
        <v>163</v>
      </c>
      <c r="B64" s="173" t="s">
        <v>65</v>
      </c>
      <c r="C64" s="150" t="str">
        <f>VLOOKUP($A$11,'[1]6.2. отчет'!$D:$AGO,330,0)</f>
        <v>нд</v>
      </c>
      <c r="D64" s="150">
        <f>J64</f>
        <v>0</v>
      </c>
      <c r="E64" s="150">
        <f t="shared" si="8"/>
        <v>0</v>
      </c>
      <c r="F64" s="150">
        <v>0</v>
      </c>
      <c r="G64" s="150">
        <f>VLOOKUP($A$11,'[1]6.2. отчет'!$D:$AGO,337,0)</f>
        <v>0</v>
      </c>
      <c r="H64" s="150" t="str">
        <f>VLOOKUP($A$11,'[1]6.2. отчет'!$D:$AGO,342,0)</f>
        <v>нд</v>
      </c>
      <c r="I64" s="150" t="str">
        <f>VLOOKUP($A$11,'[1]6.2. отчет'!$D:$AGO,367,0)</f>
        <v>нд</v>
      </c>
      <c r="J64" s="150">
        <f>VLOOKUP($A$11,'[1]6.2. отчет'!$D:$AGO,372,0)</f>
        <v>0</v>
      </c>
      <c r="K64" s="150">
        <f>VLOOKUP($A$11,'[1]6.2. отчет'!$D:$AGO,396,0)</f>
        <v>0</v>
      </c>
    </row>
    <row r="65" spans="1:1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 count="18"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D30">
    <cfRule type="cellIs" dxfId="6" priority="3" operator="notEqual">
      <formula>D31+D32+D33+D34</formula>
    </cfRule>
  </conditionalFormatting>
  <conditionalFormatting sqref="C30">
    <cfRule type="cellIs" dxfId="5" priority="2" operator="notEqual">
      <formula>C31+C32+C33+C34</formula>
    </cfRule>
  </conditionalFormatting>
  <conditionalFormatting sqref="G30">
    <cfRule type="cellIs" dxfId="4" priority="1" operator="notEqual">
      <formula>G31+G32+G33+G34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W1" zoomScale="70" zoomScaleNormal="100" zoomScaleSheetLayoutView="70" workbookViewId="0">
      <selection activeCell="AV27" sqref="AV27"/>
    </sheetView>
  </sheetViews>
  <sheetFormatPr defaultColWidth="9.140625" defaultRowHeight="15" x14ac:dyDescent="0.25"/>
  <cols>
    <col min="1" max="1" width="6.140625" style="82" customWidth="1"/>
    <col min="2" max="2" width="23.140625" style="82" customWidth="1"/>
    <col min="3" max="3" width="18.28515625" style="82" bestFit="1" customWidth="1"/>
    <col min="4" max="4" width="15.140625" style="82" customWidth="1"/>
    <col min="5" max="12" width="7.7109375" style="82" customWidth="1"/>
    <col min="13" max="13" width="14.5703125" style="82" customWidth="1"/>
    <col min="14" max="14" width="10.7109375" style="82" customWidth="1"/>
    <col min="15" max="15" width="19.7109375" style="82" customWidth="1"/>
    <col min="16" max="17" width="13.42578125" style="82" customWidth="1"/>
    <col min="18" max="18" width="17" style="82" customWidth="1"/>
    <col min="19" max="20" width="9.7109375" style="82" customWidth="1"/>
    <col min="21" max="21" width="11.42578125" style="82" customWidth="1"/>
    <col min="22" max="22" width="12.7109375" style="82" customWidth="1"/>
    <col min="23" max="23" width="19" style="82" customWidth="1"/>
    <col min="24" max="25" width="10.7109375" style="82" customWidth="1"/>
    <col min="26" max="26" width="7.7109375" style="82" customWidth="1"/>
    <col min="27" max="28" width="10.7109375" style="82" customWidth="1"/>
    <col min="29" max="29" width="15" style="82" customWidth="1"/>
    <col min="30" max="30" width="10.7109375" style="82" customWidth="1"/>
    <col min="31" max="31" width="15.85546875" style="82" customWidth="1"/>
    <col min="32" max="32" width="14.42578125" style="82" customWidth="1"/>
    <col min="33" max="36" width="11.5703125" style="82" customWidth="1"/>
    <col min="37" max="41" width="13.85546875" style="82" customWidth="1"/>
    <col min="42" max="42" width="13.42578125" style="82" customWidth="1"/>
    <col min="43" max="43" width="14" style="82" customWidth="1"/>
    <col min="44" max="44" width="14.140625" style="82" customWidth="1"/>
    <col min="45" max="46" width="13.28515625" style="82" customWidth="1"/>
    <col min="47" max="47" width="10.7109375" style="82" customWidth="1"/>
    <col min="48" max="48" width="54.42578125" style="82" customWidth="1"/>
    <col min="49" max="16384" width="9.140625" style="82"/>
  </cols>
  <sheetData>
    <row r="1" spans="1:48" ht="18.75" x14ac:dyDescent="0.25">
      <c r="AV1" s="22" t="s">
        <v>57</v>
      </c>
    </row>
    <row r="2" spans="1:48" ht="18.75" x14ac:dyDescent="0.3">
      <c r="AV2" s="23" t="s">
        <v>6</v>
      </c>
    </row>
    <row r="3" spans="1:48" ht="18.75" x14ac:dyDescent="0.3">
      <c r="AV3" s="23" t="s">
        <v>56</v>
      </c>
    </row>
    <row r="4" spans="1:48" ht="18.75" x14ac:dyDescent="0.3">
      <c r="AV4" s="23"/>
    </row>
    <row r="5" spans="1:48" ht="18.75" customHeight="1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</row>
    <row r="6" spans="1:48" ht="18.75" x14ac:dyDescent="0.3">
      <c r="AV6" s="23"/>
    </row>
    <row r="7" spans="1:48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</row>
    <row r="8" spans="1:48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</row>
    <row r="9" spans="1:48" ht="15.75" x14ac:dyDescent="0.25">
      <c r="A9" s="212" t="s">
        <v>287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</row>
    <row r="10" spans="1:48" ht="15.75" x14ac:dyDescent="0.25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</row>
    <row r="11" spans="1:48" ht="18.75" x14ac:dyDescent="0.25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</row>
    <row r="12" spans="1:48" ht="15.75" x14ac:dyDescent="0.25">
      <c r="A12" s="212" t="str">
        <f>'6.2. Паспорт фин осв ввод'!A11:K11</f>
        <v>O_Che479_24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</row>
    <row r="13" spans="1:48" ht="15.75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212" t="str">
        <f>'6.2. Паспорт фин осв ввод'!A14:K14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</row>
    <row r="16" spans="1:48" ht="15.75" x14ac:dyDescent="0.25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</row>
    <row r="17" spans="1:48" x14ac:dyDescent="0.25">
      <c r="A17" s="287"/>
      <c r="B17" s="287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  <c r="AT17" s="287"/>
      <c r="AU17" s="287"/>
      <c r="AV17" s="287"/>
    </row>
    <row r="18" spans="1:48" ht="14.25" customHeight="1" x14ac:dyDescent="0.25">
      <c r="A18" s="287"/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287"/>
      <c r="X18" s="287"/>
      <c r="Y18" s="287"/>
      <c r="Z18" s="287"/>
      <c r="AA18" s="287"/>
      <c r="AB18" s="287"/>
      <c r="AC18" s="287"/>
      <c r="AD18" s="287"/>
      <c r="AE18" s="287"/>
      <c r="AF18" s="287"/>
      <c r="AG18" s="287"/>
      <c r="AH18" s="287"/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287"/>
      <c r="AV18" s="287"/>
    </row>
    <row r="19" spans="1:48" x14ac:dyDescent="0.25">
      <c r="A19" s="287"/>
      <c r="B19" s="287"/>
      <c r="C19" s="287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  <c r="AA19" s="287"/>
      <c r="AB19" s="287"/>
      <c r="AC19" s="287"/>
      <c r="AD19" s="287"/>
      <c r="AE19" s="287"/>
      <c r="AF19" s="287"/>
      <c r="AG19" s="287"/>
      <c r="AH19" s="287"/>
      <c r="AI19" s="287"/>
      <c r="AJ19" s="287"/>
      <c r="AK19" s="287"/>
      <c r="AL19" s="287"/>
      <c r="AM19" s="287"/>
      <c r="AN19" s="287"/>
      <c r="AO19" s="287"/>
      <c r="AP19" s="287"/>
      <c r="AQ19" s="287"/>
      <c r="AR19" s="287"/>
      <c r="AS19" s="287"/>
      <c r="AT19" s="287"/>
      <c r="AU19" s="287"/>
      <c r="AV19" s="287"/>
    </row>
    <row r="20" spans="1:48" x14ac:dyDescent="0.25">
      <c r="A20" s="287"/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  <c r="AI20" s="287"/>
      <c r="AJ20" s="287"/>
      <c r="AK20" s="287"/>
      <c r="AL20" s="287"/>
      <c r="AM20" s="287"/>
      <c r="AN20" s="287"/>
      <c r="AO20" s="287"/>
      <c r="AP20" s="287"/>
      <c r="AQ20" s="287"/>
      <c r="AR20" s="287"/>
      <c r="AS20" s="287"/>
      <c r="AT20" s="287"/>
      <c r="AU20" s="287"/>
      <c r="AV20" s="287"/>
    </row>
    <row r="21" spans="1:48" x14ac:dyDescent="0.25">
      <c r="A21" s="291" t="s">
        <v>277</v>
      </c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1"/>
      <c r="X21" s="291"/>
      <c r="Y21" s="291"/>
      <c r="Z21" s="291"/>
      <c r="AA21" s="291"/>
      <c r="AB21" s="291"/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91"/>
      <c r="AV21" s="291"/>
    </row>
    <row r="22" spans="1:48" s="83" customFormat="1" ht="58.5" customHeight="1" x14ac:dyDescent="0.25">
      <c r="A22" s="292" t="s">
        <v>41</v>
      </c>
      <c r="B22" s="295" t="s">
        <v>14</v>
      </c>
      <c r="C22" s="292" t="s">
        <v>40</v>
      </c>
      <c r="D22" s="292" t="s">
        <v>39</v>
      </c>
      <c r="E22" s="298" t="s">
        <v>283</v>
      </c>
      <c r="F22" s="299"/>
      <c r="G22" s="299"/>
      <c r="H22" s="299"/>
      <c r="I22" s="299"/>
      <c r="J22" s="299"/>
      <c r="K22" s="299"/>
      <c r="L22" s="300"/>
      <c r="M22" s="292" t="s">
        <v>38</v>
      </c>
      <c r="N22" s="292" t="s">
        <v>37</v>
      </c>
      <c r="O22" s="292" t="s">
        <v>36</v>
      </c>
      <c r="P22" s="288" t="s">
        <v>168</v>
      </c>
      <c r="Q22" s="288" t="s">
        <v>35</v>
      </c>
      <c r="R22" s="288" t="s">
        <v>34</v>
      </c>
      <c r="S22" s="288" t="s">
        <v>33</v>
      </c>
      <c r="T22" s="288"/>
      <c r="U22" s="301" t="s">
        <v>32</v>
      </c>
      <c r="V22" s="301" t="s">
        <v>31</v>
      </c>
      <c r="W22" s="288" t="s">
        <v>30</v>
      </c>
      <c r="X22" s="288" t="s">
        <v>29</v>
      </c>
      <c r="Y22" s="288" t="s">
        <v>28</v>
      </c>
      <c r="Z22" s="302" t="s">
        <v>27</v>
      </c>
      <c r="AA22" s="288" t="s">
        <v>26</v>
      </c>
      <c r="AB22" s="288" t="s">
        <v>25</v>
      </c>
      <c r="AC22" s="288" t="s">
        <v>24</v>
      </c>
      <c r="AD22" s="288" t="s">
        <v>23</v>
      </c>
      <c r="AE22" s="288" t="s">
        <v>22</v>
      </c>
      <c r="AF22" s="288" t="s">
        <v>21</v>
      </c>
      <c r="AG22" s="288"/>
      <c r="AH22" s="288"/>
      <c r="AI22" s="288"/>
      <c r="AJ22" s="288"/>
      <c r="AK22" s="288"/>
      <c r="AL22" s="307" t="s">
        <v>455</v>
      </c>
      <c r="AM22" s="307"/>
      <c r="AN22" s="307"/>
      <c r="AO22" s="307"/>
      <c r="AP22" s="288" t="s">
        <v>20</v>
      </c>
      <c r="AQ22" s="288"/>
      <c r="AR22" s="288" t="s">
        <v>19</v>
      </c>
      <c r="AS22" s="288" t="s">
        <v>18</v>
      </c>
      <c r="AT22" s="288" t="s">
        <v>17</v>
      </c>
      <c r="AU22" s="288" t="s">
        <v>16</v>
      </c>
      <c r="AV22" s="288" t="s">
        <v>15</v>
      </c>
    </row>
    <row r="23" spans="1:48" s="83" customFormat="1" ht="64.5" customHeight="1" x14ac:dyDescent="0.25">
      <c r="A23" s="293"/>
      <c r="B23" s="296"/>
      <c r="C23" s="293"/>
      <c r="D23" s="293"/>
      <c r="E23" s="289" t="s">
        <v>13</v>
      </c>
      <c r="F23" s="308" t="s">
        <v>69</v>
      </c>
      <c r="G23" s="308" t="s">
        <v>68</v>
      </c>
      <c r="H23" s="308" t="s">
        <v>67</v>
      </c>
      <c r="I23" s="310" t="s">
        <v>222</v>
      </c>
      <c r="J23" s="310" t="s">
        <v>223</v>
      </c>
      <c r="K23" s="310" t="s">
        <v>224</v>
      </c>
      <c r="L23" s="308" t="s">
        <v>64</v>
      </c>
      <c r="M23" s="293"/>
      <c r="N23" s="293"/>
      <c r="O23" s="293"/>
      <c r="P23" s="288"/>
      <c r="Q23" s="288"/>
      <c r="R23" s="288"/>
      <c r="S23" s="292" t="s">
        <v>0</v>
      </c>
      <c r="T23" s="292" t="s">
        <v>7</v>
      </c>
      <c r="U23" s="301"/>
      <c r="V23" s="301"/>
      <c r="W23" s="288"/>
      <c r="X23" s="288"/>
      <c r="Y23" s="288"/>
      <c r="Z23" s="288"/>
      <c r="AA23" s="288"/>
      <c r="AB23" s="288"/>
      <c r="AC23" s="288"/>
      <c r="AD23" s="288"/>
      <c r="AE23" s="288"/>
      <c r="AF23" s="288" t="s">
        <v>12</v>
      </c>
      <c r="AG23" s="288"/>
      <c r="AH23" s="307" t="s">
        <v>456</v>
      </c>
      <c r="AI23" s="307"/>
      <c r="AJ23" s="305" t="s">
        <v>457</v>
      </c>
      <c r="AK23" s="292" t="s">
        <v>11</v>
      </c>
      <c r="AL23" s="305" t="s">
        <v>458</v>
      </c>
      <c r="AM23" s="305" t="s">
        <v>459</v>
      </c>
      <c r="AN23" s="305" t="s">
        <v>460</v>
      </c>
      <c r="AO23" s="305" t="s">
        <v>461</v>
      </c>
      <c r="AP23" s="292" t="s">
        <v>10</v>
      </c>
      <c r="AQ23" s="303" t="s">
        <v>7</v>
      </c>
      <c r="AR23" s="288"/>
      <c r="AS23" s="288"/>
      <c r="AT23" s="288"/>
      <c r="AU23" s="288"/>
      <c r="AV23" s="288"/>
    </row>
    <row r="24" spans="1:48" s="83" customFormat="1" ht="96.75" customHeight="1" x14ac:dyDescent="0.25">
      <c r="A24" s="294"/>
      <c r="B24" s="297"/>
      <c r="C24" s="294"/>
      <c r="D24" s="294"/>
      <c r="E24" s="290"/>
      <c r="F24" s="309"/>
      <c r="G24" s="309"/>
      <c r="H24" s="309"/>
      <c r="I24" s="311"/>
      <c r="J24" s="311"/>
      <c r="K24" s="311"/>
      <c r="L24" s="309"/>
      <c r="M24" s="294"/>
      <c r="N24" s="294"/>
      <c r="O24" s="294"/>
      <c r="P24" s="288"/>
      <c r="Q24" s="288"/>
      <c r="R24" s="288"/>
      <c r="S24" s="294"/>
      <c r="T24" s="294"/>
      <c r="U24" s="301"/>
      <c r="V24" s="301"/>
      <c r="W24" s="288"/>
      <c r="X24" s="288"/>
      <c r="Y24" s="288"/>
      <c r="Z24" s="288"/>
      <c r="AA24" s="288"/>
      <c r="AB24" s="288"/>
      <c r="AC24" s="288"/>
      <c r="AD24" s="288"/>
      <c r="AE24" s="288"/>
      <c r="AF24" s="84" t="s">
        <v>9</v>
      </c>
      <c r="AG24" s="84" t="s">
        <v>8</v>
      </c>
      <c r="AH24" s="148" t="s">
        <v>0</v>
      </c>
      <c r="AI24" s="148" t="s">
        <v>7</v>
      </c>
      <c r="AJ24" s="306"/>
      <c r="AK24" s="294"/>
      <c r="AL24" s="306"/>
      <c r="AM24" s="306"/>
      <c r="AN24" s="306"/>
      <c r="AO24" s="306"/>
      <c r="AP24" s="294"/>
      <c r="AQ24" s="304"/>
      <c r="AR24" s="288"/>
      <c r="AS24" s="288"/>
      <c r="AT24" s="288"/>
      <c r="AU24" s="288"/>
      <c r="AV24" s="288"/>
    </row>
    <row r="25" spans="1:48" s="83" customFormat="1" x14ac:dyDescent="0.25">
      <c r="A25" s="85">
        <v>1</v>
      </c>
      <c r="B25" s="85">
        <v>2</v>
      </c>
      <c r="C25" s="85">
        <v>4</v>
      </c>
      <c r="D25" s="85">
        <v>5</v>
      </c>
      <c r="E25" s="85">
        <v>6</v>
      </c>
      <c r="F25" s="85">
        <f t="shared" ref="F25:AF25" si="0">E25+1</f>
        <v>7</v>
      </c>
      <c r="G25" s="85">
        <f t="shared" si="0"/>
        <v>8</v>
      </c>
      <c r="H25" s="85">
        <f t="shared" si="0"/>
        <v>9</v>
      </c>
      <c r="I25" s="85">
        <f t="shared" si="0"/>
        <v>10</v>
      </c>
      <c r="J25" s="85">
        <f t="shared" si="0"/>
        <v>11</v>
      </c>
      <c r="K25" s="85">
        <f t="shared" si="0"/>
        <v>12</v>
      </c>
      <c r="L25" s="85">
        <f t="shared" si="0"/>
        <v>13</v>
      </c>
      <c r="M25" s="85">
        <f t="shared" si="0"/>
        <v>14</v>
      </c>
      <c r="N25" s="85">
        <f t="shared" si="0"/>
        <v>15</v>
      </c>
      <c r="O25" s="85">
        <f t="shared" si="0"/>
        <v>16</v>
      </c>
      <c r="P25" s="85">
        <f t="shared" si="0"/>
        <v>17</v>
      </c>
      <c r="Q25" s="85">
        <f t="shared" si="0"/>
        <v>18</v>
      </c>
      <c r="R25" s="85">
        <f t="shared" si="0"/>
        <v>19</v>
      </c>
      <c r="S25" s="85">
        <f t="shared" si="0"/>
        <v>20</v>
      </c>
      <c r="T25" s="85">
        <f t="shared" si="0"/>
        <v>21</v>
      </c>
      <c r="U25" s="85">
        <f t="shared" si="0"/>
        <v>22</v>
      </c>
      <c r="V25" s="85">
        <f t="shared" si="0"/>
        <v>23</v>
      </c>
      <c r="W25" s="85">
        <f t="shared" si="0"/>
        <v>24</v>
      </c>
      <c r="X25" s="85">
        <f t="shared" si="0"/>
        <v>25</v>
      </c>
      <c r="Y25" s="85">
        <f t="shared" si="0"/>
        <v>26</v>
      </c>
      <c r="Z25" s="85">
        <f t="shared" si="0"/>
        <v>27</v>
      </c>
      <c r="AA25" s="85">
        <f t="shared" si="0"/>
        <v>28</v>
      </c>
      <c r="AB25" s="85">
        <f t="shared" si="0"/>
        <v>29</v>
      </c>
      <c r="AC25" s="85">
        <f t="shared" si="0"/>
        <v>30</v>
      </c>
      <c r="AD25" s="85">
        <f t="shared" si="0"/>
        <v>31</v>
      </c>
      <c r="AE25" s="85">
        <f t="shared" si="0"/>
        <v>32</v>
      </c>
      <c r="AF25" s="85">
        <f t="shared" si="0"/>
        <v>33</v>
      </c>
      <c r="AG25" s="85">
        <f t="shared" ref="AG25" si="1">AF25+1</f>
        <v>34</v>
      </c>
      <c r="AH25" s="85">
        <f t="shared" ref="AH25" si="2">AG25+1</f>
        <v>35</v>
      </c>
      <c r="AI25" s="85">
        <f t="shared" ref="AI25" si="3">AH25+1</f>
        <v>36</v>
      </c>
      <c r="AJ25" s="85">
        <f t="shared" ref="AJ25" si="4">AI25+1</f>
        <v>37</v>
      </c>
      <c r="AK25" s="85">
        <f t="shared" ref="AK25" si="5">AJ25+1</f>
        <v>38</v>
      </c>
      <c r="AL25" s="85">
        <f t="shared" ref="AL25" si="6">AK25+1</f>
        <v>39</v>
      </c>
      <c r="AM25" s="85">
        <f t="shared" ref="AM25" si="7">AL25+1</f>
        <v>40</v>
      </c>
      <c r="AN25" s="85">
        <f t="shared" ref="AN25" si="8">AM25+1</f>
        <v>41</v>
      </c>
      <c r="AO25" s="85">
        <f t="shared" ref="AO25" si="9">AN25+1</f>
        <v>42</v>
      </c>
      <c r="AP25" s="85">
        <f t="shared" ref="AP25" si="10">AO25+1</f>
        <v>43</v>
      </c>
      <c r="AQ25" s="85">
        <f t="shared" ref="AQ25" si="11">AP25+1</f>
        <v>44</v>
      </c>
      <c r="AR25" s="85">
        <f t="shared" ref="AR25" si="12">AQ25+1</f>
        <v>45</v>
      </c>
      <c r="AS25" s="85">
        <f t="shared" ref="AS25" si="13">AR25+1</f>
        <v>46</v>
      </c>
      <c r="AT25" s="85">
        <f t="shared" ref="AT25" si="14">AS25+1</f>
        <v>47</v>
      </c>
      <c r="AU25" s="85">
        <f t="shared" ref="AU25" si="15">AT25+1</f>
        <v>48</v>
      </c>
      <c r="AV25" s="85">
        <f t="shared" ref="AV25" si="16">AU25+1</f>
        <v>49</v>
      </c>
    </row>
    <row r="26" spans="1:48" ht="60" x14ac:dyDescent="0.25">
      <c r="A26" s="193">
        <v>3</v>
      </c>
      <c r="B26" s="194" t="s">
        <v>287</v>
      </c>
      <c r="C26" s="194" t="s">
        <v>496</v>
      </c>
      <c r="D26" s="194" t="s">
        <v>300</v>
      </c>
      <c r="E26" s="196">
        <v>1</v>
      </c>
      <c r="F26" s="196">
        <v>0</v>
      </c>
      <c r="G26" s="196">
        <v>0</v>
      </c>
      <c r="H26" s="196">
        <v>0</v>
      </c>
      <c r="I26" s="196">
        <v>0</v>
      </c>
      <c r="J26" s="196">
        <v>0</v>
      </c>
      <c r="K26" s="196">
        <v>0</v>
      </c>
      <c r="L26" s="196">
        <v>0</v>
      </c>
      <c r="M26" s="193" t="s">
        <v>489</v>
      </c>
      <c r="N26" s="193" t="s">
        <v>489</v>
      </c>
      <c r="O26" s="193" t="s">
        <v>287</v>
      </c>
      <c r="P26" s="195">
        <v>14835.63355</v>
      </c>
      <c r="Q26" s="193" t="s">
        <v>490</v>
      </c>
      <c r="R26" s="197">
        <v>14835.63355</v>
      </c>
      <c r="S26" s="193" t="s">
        <v>491</v>
      </c>
      <c r="T26" s="193" t="s">
        <v>491</v>
      </c>
      <c r="U26" s="193">
        <v>1</v>
      </c>
      <c r="V26" s="193">
        <v>1</v>
      </c>
      <c r="W26" s="193" t="s">
        <v>492</v>
      </c>
      <c r="X26" s="198" t="s">
        <v>290</v>
      </c>
      <c r="Y26" s="198" t="s">
        <v>290</v>
      </c>
      <c r="Z26" s="193">
        <v>1</v>
      </c>
      <c r="AA26" s="193" t="s">
        <v>290</v>
      </c>
      <c r="AB26" s="199">
        <v>14835.63355</v>
      </c>
      <c r="AC26" s="193" t="s">
        <v>492</v>
      </c>
      <c r="AD26" s="197">
        <v>17802.760259999999</v>
      </c>
      <c r="AE26" s="197"/>
      <c r="AF26" s="200" t="s">
        <v>493</v>
      </c>
      <c r="AG26" s="200" t="s">
        <v>494</v>
      </c>
      <c r="AH26" s="201">
        <v>45286</v>
      </c>
      <c r="AI26" s="201">
        <v>45286</v>
      </c>
      <c r="AJ26" s="201">
        <v>45306</v>
      </c>
      <c r="AK26" s="201">
        <v>45313</v>
      </c>
      <c r="AL26" s="318" t="s">
        <v>495</v>
      </c>
      <c r="AM26" s="319"/>
      <c r="AN26" s="319"/>
      <c r="AO26" s="320"/>
      <c r="AP26" s="201">
        <v>45329</v>
      </c>
      <c r="AQ26" s="201">
        <v>45329</v>
      </c>
      <c r="AR26" s="201">
        <v>45329</v>
      </c>
      <c r="AS26" s="201">
        <v>45329</v>
      </c>
      <c r="AT26" s="201"/>
      <c r="AU26" s="201"/>
      <c r="AV26" s="321" t="s">
        <v>497</v>
      </c>
    </row>
  </sheetData>
  <mergeCells count="68"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8" zoomScale="80" zoomScaleNormal="90" zoomScaleSheetLayoutView="80" workbookViewId="0">
      <selection activeCell="A37" sqref="A37"/>
    </sheetView>
  </sheetViews>
  <sheetFormatPr defaultColWidth="9.140625" defaultRowHeight="15.75" x14ac:dyDescent="0.25"/>
  <cols>
    <col min="1" max="1" width="72.28515625" style="13" customWidth="1"/>
    <col min="2" max="2" width="64.28515625" style="13" customWidth="1"/>
    <col min="3" max="3" width="10.7109375" style="14" hidden="1" customWidth="1"/>
    <col min="4" max="4" width="9.140625" style="14" hidden="1" customWidth="1"/>
    <col min="5" max="5" width="15.5703125" style="14" customWidth="1"/>
    <col min="6" max="7" width="9.140625" style="14"/>
    <col min="8" max="8" width="11.42578125" style="14" customWidth="1"/>
    <col min="9" max="9" width="29.42578125" style="14" customWidth="1"/>
    <col min="10" max="216" width="9.140625" style="14"/>
    <col min="217" max="218" width="66.140625" style="14" customWidth="1"/>
    <col min="219" max="16384" width="9.140625" style="14"/>
  </cols>
  <sheetData>
    <row r="1" spans="1:2" ht="18.75" x14ac:dyDescent="0.25">
      <c r="B1" s="22" t="s">
        <v>57</v>
      </c>
    </row>
    <row r="2" spans="1:2" ht="18.75" x14ac:dyDescent="0.3">
      <c r="B2" s="23" t="s">
        <v>6</v>
      </c>
    </row>
    <row r="3" spans="1:2" ht="18.75" x14ac:dyDescent="0.3">
      <c r="B3" s="23" t="s">
        <v>169</v>
      </c>
    </row>
    <row r="4" spans="1:2" x14ac:dyDescent="0.25">
      <c r="B4" s="6"/>
    </row>
    <row r="5" spans="1:2" x14ac:dyDescent="0.25">
      <c r="A5" s="313" t="str">
        <f>'1. паспорт местоположение'!$A$5</f>
        <v>Год раскрытия информации: 2024 год</v>
      </c>
      <c r="B5" s="313"/>
    </row>
    <row r="6" spans="1:2" ht="18.75" x14ac:dyDescent="0.3">
      <c r="A6" s="17"/>
      <c r="B6" s="17"/>
    </row>
    <row r="7" spans="1:2" x14ac:dyDescent="0.25">
      <c r="A7" s="314" t="s">
        <v>5</v>
      </c>
      <c r="B7" s="314"/>
    </row>
    <row r="8" spans="1:2" ht="18.75" x14ac:dyDescent="0.25">
      <c r="A8" s="54"/>
      <c r="B8" s="54"/>
    </row>
    <row r="9" spans="1:2" x14ac:dyDescent="0.25">
      <c r="A9" s="315" t="s">
        <v>287</v>
      </c>
      <c r="B9" s="315"/>
    </row>
    <row r="10" spans="1:2" x14ac:dyDescent="0.25">
      <c r="A10" s="213" t="s">
        <v>4</v>
      </c>
      <c r="B10" s="213"/>
    </row>
    <row r="11" spans="1:2" ht="18.75" x14ac:dyDescent="0.25">
      <c r="A11" s="54"/>
      <c r="B11" s="54"/>
    </row>
    <row r="12" spans="1:2" x14ac:dyDescent="0.25">
      <c r="A12" s="315" t="str">
        <f>'6.2. Паспорт фин осв ввод'!A11:K11</f>
        <v>O_Che479_24</v>
      </c>
      <c r="B12" s="315"/>
    </row>
    <row r="13" spans="1:2" x14ac:dyDescent="0.25">
      <c r="A13" s="213" t="s">
        <v>3</v>
      </c>
      <c r="B13" s="213"/>
    </row>
    <row r="14" spans="1:2" ht="18.75" x14ac:dyDescent="0.25">
      <c r="A14" s="1"/>
      <c r="B14" s="1"/>
    </row>
    <row r="15" spans="1:2" ht="57.75" customHeight="1" x14ac:dyDescent="0.25">
      <c r="A15" s="317" t="str">
        <f>'6.2. Паспорт фин осв ввод'!A14:K14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317"/>
    </row>
    <row r="16" spans="1:2" x14ac:dyDescent="0.25">
      <c r="A16" s="213" t="s">
        <v>2</v>
      </c>
      <c r="B16" s="213"/>
    </row>
    <row r="17" spans="1:9" x14ac:dyDescent="0.25">
      <c r="B17" s="75"/>
    </row>
    <row r="18" spans="1:9" ht="20.25" customHeight="1" x14ac:dyDescent="0.25">
      <c r="A18" s="316" t="s">
        <v>278</v>
      </c>
      <c r="B18" s="313"/>
    </row>
    <row r="19" spans="1:9" ht="10.5" customHeight="1" x14ac:dyDescent="0.25">
      <c r="B19" s="6"/>
    </row>
    <row r="20" spans="1:9" ht="10.5" customHeight="1" x14ac:dyDescent="0.25">
      <c r="B20" s="76"/>
    </row>
    <row r="21" spans="1:9" ht="90" x14ac:dyDescent="0.25">
      <c r="A21" s="128" t="s">
        <v>173</v>
      </c>
      <c r="B21" s="77" t="str">
        <f>'1. паспорт местоположение'!A15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</row>
    <row r="22" spans="1:9" x14ac:dyDescent="0.25">
      <c r="A22" s="128" t="s">
        <v>174</v>
      </c>
      <c r="B22" s="77" t="str">
        <f>'1. паспорт местоположение'!C27</f>
        <v>Итум-Калинский район, Шатойский район</v>
      </c>
    </row>
    <row r="23" spans="1:9" ht="30" x14ac:dyDescent="0.25">
      <c r="A23" s="128" t="s">
        <v>170</v>
      </c>
      <c r="B23" s="77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28" t="s">
        <v>175</v>
      </c>
      <c r="B24" s="78" t="s">
        <v>300</v>
      </c>
    </row>
    <row r="25" spans="1:9" x14ac:dyDescent="0.25">
      <c r="A25" s="129" t="s">
        <v>176</v>
      </c>
      <c r="B25" s="180">
        <f>VLOOKUP($A$12,'[1]6.2. отчет'!$D:$OM,400,0)</f>
        <v>2025</v>
      </c>
    </row>
    <row r="26" spans="1:9" x14ac:dyDescent="0.25">
      <c r="A26" s="129" t="s">
        <v>177</v>
      </c>
      <c r="B26" s="78" t="s">
        <v>474</v>
      </c>
      <c r="I26" s="79"/>
    </row>
    <row r="27" spans="1:9" x14ac:dyDescent="0.25">
      <c r="A27" s="130" t="s">
        <v>449</v>
      </c>
      <c r="B27" s="80" t="str">
        <f>'6.2. Паспорт фин осв ввод'!C24</f>
        <v>нд</v>
      </c>
      <c r="C27" s="124"/>
    </row>
    <row r="28" spans="1:9" x14ac:dyDescent="0.25">
      <c r="A28" s="131" t="s">
        <v>178</v>
      </c>
      <c r="B28" s="131" t="s">
        <v>289</v>
      </c>
    </row>
    <row r="29" spans="1:9" x14ac:dyDescent="0.25">
      <c r="A29" s="130" t="s">
        <v>179</v>
      </c>
      <c r="B29" s="80">
        <f>B30</f>
        <v>2.9554151039999996</v>
      </c>
    </row>
    <row r="30" spans="1:9" ht="20.25" customHeight="1" x14ac:dyDescent="0.25">
      <c r="A30" s="130" t="s">
        <v>180</v>
      </c>
      <c r="B30" s="80">
        <f>B51</f>
        <v>2.9554151039999996</v>
      </c>
    </row>
    <row r="31" spans="1:9" x14ac:dyDescent="0.25">
      <c r="A31" s="131" t="s">
        <v>181</v>
      </c>
      <c r="B31" s="131"/>
    </row>
    <row r="32" spans="1:9" ht="28.5" x14ac:dyDescent="0.25">
      <c r="A32" s="130" t="s">
        <v>182</v>
      </c>
      <c r="B32" s="130"/>
    </row>
    <row r="33" spans="1:2" ht="18.75" customHeight="1" x14ac:dyDescent="0.25">
      <c r="A33" s="131" t="s">
        <v>500</v>
      </c>
      <c r="B33" s="80"/>
    </row>
    <row r="34" spans="1:2" x14ac:dyDescent="0.25">
      <c r="A34" s="131" t="s">
        <v>184</v>
      </c>
      <c r="B34" s="133"/>
    </row>
    <row r="35" spans="1:2" x14ac:dyDescent="0.25">
      <c r="A35" s="131" t="s">
        <v>185</v>
      </c>
      <c r="B35" s="80"/>
    </row>
    <row r="36" spans="1:2" x14ac:dyDescent="0.25">
      <c r="A36" s="131" t="s">
        <v>186</v>
      </c>
      <c r="B36" s="80"/>
    </row>
    <row r="37" spans="1:2" ht="28.5" x14ac:dyDescent="0.25">
      <c r="A37" s="130" t="s">
        <v>187</v>
      </c>
      <c r="B37" s="131"/>
    </row>
    <row r="38" spans="1:2" x14ac:dyDescent="0.25">
      <c r="A38" s="131" t="s">
        <v>183</v>
      </c>
      <c r="B38" s="77"/>
    </row>
    <row r="39" spans="1:2" x14ac:dyDescent="0.25">
      <c r="A39" s="131" t="s">
        <v>184</v>
      </c>
      <c r="B39" s="77"/>
    </row>
    <row r="40" spans="1:2" x14ac:dyDescent="0.25">
      <c r="A40" s="131" t="s">
        <v>185</v>
      </c>
      <c r="B40" s="77"/>
    </row>
    <row r="41" spans="1:2" x14ac:dyDescent="0.25">
      <c r="A41" s="131" t="s">
        <v>186</v>
      </c>
      <c r="B41" s="77"/>
    </row>
    <row r="42" spans="1:2" ht="28.5" x14ac:dyDescent="0.25">
      <c r="A42" s="130" t="s">
        <v>188</v>
      </c>
      <c r="B42" s="132"/>
    </row>
    <row r="43" spans="1:2" x14ac:dyDescent="0.25">
      <c r="A43" s="131" t="s">
        <v>499</v>
      </c>
      <c r="B43" s="134"/>
    </row>
    <row r="44" spans="1:2" x14ac:dyDescent="0.25">
      <c r="A44" s="131" t="s">
        <v>184</v>
      </c>
      <c r="B44" s="135"/>
    </row>
    <row r="45" spans="1:2" x14ac:dyDescent="0.25">
      <c r="A45" s="131" t="s">
        <v>185</v>
      </c>
      <c r="B45" s="134"/>
    </row>
    <row r="46" spans="1:2" x14ac:dyDescent="0.25">
      <c r="A46" s="131" t="s">
        <v>186</v>
      </c>
      <c r="B46" s="134"/>
    </row>
    <row r="47" spans="1:2" s="154" customFormat="1" ht="28.5" x14ac:dyDescent="0.25">
      <c r="A47" s="153" t="s">
        <v>188</v>
      </c>
      <c r="B47" s="190" t="s">
        <v>498</v>
      </c>
    </row>
    <row r="48" spans="1:2" s="154" customFormat="1" x14ac:dyDescent="0.25">
      <c r="A48" s="155" t="s">
        <v>463</v>
      </c>
      <c r="B48" s="191">
        <v>17.8</v>
      </c>
    </row>
    <row r="49" spans="1:5" s="154" customFormat="1" x14ac:dyDescent="0.25">
      <c r="A49" s="155" t="s">
        <v>184</v>
      </c>
      <c r="B49" s="192">
        <f>B51/B48</f>
        <v>0.16603455640449435</v>
      </c>
    </row>
    <row r="50" spans="1:5" s="154" customFormat="1" x14ac:dyDescent="0.25">
      <c r="A50" s="155" t="s">
        <v>185</v>
      </c>
      <c r="B50" s="191">
        <v>0</v>
      </c>
    </row>
    <row r="51" spans="1:5" s="154" customFormat="1" x14ac:dyDescent="0.25">
      <c r="A51" s="155" t="s">
        <v>186</v>
      </c>
      <c r="B51" s="191">
        <v>2.9554151039999996</v>
      </c>
    </row>
    <row r="52" spans="1:5" ht="28.5" x14ac:dyDescent="0.25">
      <c r="A52" s="129" t="s">
        <v>189</v>
      </c>
      <c r="B52" s="136">
        <f>B54+B55+B56</f>
        <v>0.16603455640449435</v>
      </c>
    </row>
    <row r="53" spans="1:5" x14ac:dyDescent="0.25">
      <c r="A53" s="81" t="s">
        <v>181</v>
      </c>
      <c r="B53" s="137"/>
    </row>
    <row r="54" spans="1:5" x14ac:dyDescent="0.25">
      <c r="A54" s="81" t="s">
        <v>190</v>
      </c>
      <c r="B54" s="133">
        <v>0</v>
      </c>
    </row>
    <row r="55" spans="1:5" x14ac:dyDescent="0.25">
      <c r="A55" s="81" t="s">
        <v>191</v>
      </c>
      <c r="B55" s="133">
        <v>0</v>
      </c>
    </row>
    <row r="56" spans="1:5" x14ac:dyDescent="0.25">
      <c r="A56" s="81" t="s">
        <v>192</v>
      </c>
      <c r="B56" s="133">
        <f>B49</f>
        <v>0.16603455640449435</v>
      </c>
    </row>
    <row r="57" spans="1:5" x14ac:dyDescent="0.25">
      <c r="A57" s="129" t="s">
        <v>451</v>
      </c>
      <c r="B57" s="176">
        <f>B58+B59</f>
        <v>0</v>
      </c>
    </row>
    <row r="58" spans="1:5" x14ac:dyDescent="0.25">
      <c r="A58" s="129" t="s">
        <v>452</v>
      </c>
      <c r="B58" s="138"/>
    </row>
    <row r="59" spans="1:5" x14ac:dyDescent="0.25">
      <c r="A59" s="129" t="s">
        <v>453</v>
      </c>
      <c r="B59" s="139">
        <v>0</v>
      </c>
    </row>
    <row r="60" spans="1:5" x14ac:dyDescent="0.25">
      <c r="A60" s="129" t="s">
        <v>193</v>
      </c>
      <c r="B60" s="140" t="e">
        <f>B61/$B$27</f>
        <v>#VALUE!</v>
      </c>
    </row>
    <row r="61" spans="1:5" x14ac:dyDescent="0.25">
      <c r="A61" s="129" t="s">
        <v>194</v>
      </c>
      <c r="B61" s="80">
        <f>'6.2. Паспорт фин осв ввод'!$D$24</f>
        <v>0</v>
      </c>
      <c r="C61" s="124">
        <f>B35</f>
        <v>0</v>
      </c>
      <c r="D61" s="127">
        <f>B61-C61</f>
        <v>0</v>
      </c>
      <c r="E61" s="126"/>
    </row>
    <row r="62" spans="1:5" x14ac:dyDescent="0.25">
      <c r="A62" s="129" t="s">
        <v>195</v>
      </c>
      <c r="B62" s="140" t="e">
        <f>$B63/'6.2. Паспорт фин осв ввод'!$C$30</f>
        <v>#VALUE!</v>
      </c>
      <c r="D62" s="127"/>
    </row>
    <row r="63" spans="1:5" x14ac:dyDescent="0.25">
      <c r="A63" s="129" t="s">
        <v>196</v>
      </c>
      <c r="B63" s="80">
        <f>'6.2. Паспорт фин осв ввод'!$D$30</f>
        <v>2.4628459199999999</v>
      </c>
      <c r="C63" s="125">
        <f>B51/1.2</f>
        <v>2.4628459199999999</v>
      </c>
      <c r="D63" s="127">
        <f>B63-C63</f>
        <v>0</v>
      </c>
      <c r="E63" s="126"/>
    </row>
    <row r="64" spans="1:5" x14ac:dyDescent="0.25">
      <c r="A64" s="141" t="s">
        <v>197</v>
      </c>
      <c r="B64" s="81"/>
    </row>
    <row r="65" spans="1:2" x14ac:dyDescent="0.25">
      <c r="A65" s="142" t="s">
        <v>198</v>
      </c>
      <c r="B65" s="81" t="s">
        <v>287</v>
      </c>
    </row>
    <row r="66" spans="1:2" x14ac:dyDescent="0.25">
      <c r="A66" s="142" t="s">
        <v>199</v>
      </c>
      <c r="B66" s="81" t="s">
        <v>481</v>
      </c>
    </row>
    <row r="67" spans="1:2" x14ac:dyDescent="0.25">
      <c r="A67" s="142" t="s">
        <v>200</v>
      </c>
      <c r="B67" s="81" t="s">
        <v>300</v>
      </c>
    </row>
    <row r="68" spans="1:2" x14ac:dyDescent="0.25">
      <c r="A68" s="142" t="s">
        <v>201</v>
      </c>
      <c r="B68" s="81" t="s">
        <v>300</v>
      </c>
    </row>
    <row r="69" spans="1:2" x14ac:dyDescent="0.25">
      <c r="A69" s="142" t="s">
        <v>202</v>
      </c>
      <c r="B69" s="81"/>
    </row>
    <row r="70" spans="1:2" ht="14.25" customHeight="1" x14ac:dyDescent="0.25">
      <c r="A70" s="81" t="s">
        <v>203</v>
      </c>
      <c r="B70" s="77" t="s">
        <v>290</v>
      </c>
    </row>
    <row r="71" spans="1:2" ht="28.5" x14ac:dyDescent="0.25">
      <c r="A71" s="129" t="s">
        <v>204</v>
      </c>
      <c r="B71" s="143">
        <f>B73+B74</f>
        <v>0</v>
      </c>
    </row>
    <row r="72" spans="1:2" x14ac:dyDescent="0.25">
      <c r="A72" s="81" t="s">
        <v>181</v>
      </c>
      <c r="B72" s="144"/>
    </row>
    <row r="73" spans="1:2" x14ac:dyDescent="0.25">
      <c r="A73" s="81" t="s">
        <v>205</v>
      </c>
      <c r="B73" s="144"/>
    </row>
    <row r="74" spans="1:2" x14ac:dyDescent="0.25">
      <c r="A74" s="81" t="s">
        <v>206</v>
      </c>
      <c r="B74" s="144"/>
    </row>
    <row r="75" spans="1:2" x14ac:dyDescent="0.25">
      <c r="A75" s="145" t="s">
        <v>207</v>
      </c>
      <c r="B75" s="77"/>
    </row>
    <row r="76" spans="1:2" x14ac:dyDescent="0.25">
      <c r="A76" s="129" t="s">
        <v>208</v>
      </c>
      <c r="B76" s="131"/>
    </row>
    <row r="77" spans="1:2" x14ac:dyDescent="0.25">
      <c r="A77" s="81" t="s">
        <v>209</v>
      </c>
      <c r="B77" s="77"/>
    </row>
    <row r="78" spans="1:2" x14ac:dyDescent="0.25">
      <c r="A78" s="81" t="s">
        <v>210</v>
      </c>
      <c r="B78" s="77"/>
    </row>
    <row r="79" spans="1:2" x14ac:dyDescent="0.25">
      <c r="A79" s="81" t="s">
        <v>211</v>
      </c>
      <c r="B79" s="77"/>
    </row>
    <row r="80" spans="1:2" ht="28.5" x14ac:dyDescent="0.25">
      <c r="A80" s="146" t="s">
        <v>212</v>
      </c>
      <c r="B80" s="81" t="str">
        <f>$B$26</f>
        <v>Проектирование</v>
      </c>
    </row>
    <row r="81" spans="1:2" ht="28.5" x14ac:dyDescent="0.25">
      <c r="A81" s="129" t="s">
        <v>213</v>
      </c>
      <c r="B81" s="312"/>
    </row>
    <row r="82" spans="1:2" x14ac:dyDescent="0.25">
      <c r="A82" s="81" t="s">
        <v>214</v>
      </c>
      <c r="B82" s="312"/>
    </row>
    <row r="83" spans="1:2" x14ac:dyDescent="0.25">
      <c r="A83" s="81" t="s">
        <v>215</v>
      </c>
      <c r="B83" s="312"/>
    </row>
    <row r="84" spans="1:2" x14ac:dyDescent="0.25">
      <c r="A84" s="81" t="s">
        <v>216</v>
      </c>
      <c r="B84" s="312"/>
    </row>
    <row r="85" spans="1:2" x14ac:dyDescent="0.25">
      <c r="A85" s="81" t="s">
        <v>217</v>
      </c>
      <c r="B85" s="312"/>
    </row>
    <row r="86" spans="1:2" x14ac:dyDescent="0.25">
      <c r="A86" s="147" t="s">
        <v>218</v>
      </c>
      <c r="B86" s="312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22" sqref="A22:XFD22"/>
    </sheetView>
  </sheetViews>
  <sheetFormatPr defaultColWidth="9.140625" defaultRowHeight="15" x14ac:dyDescent="0.25"/>
  <cols>
    <col min="1" max="1" width="7.42578125" style="52" customWidth="1"/>
    <col min="2" max="2" width="35.85546875" style="52" customWidth="1"/>
    <col min="3" max="3" width="31.140625" style="52" customWidth="1"/>
    <col min="4" max="4" width="25" style="52" customWidth="1"/>
    <col min="5" max="5" width="50" style="52" customWidth="1"/>
    <col min="6" max="6" width="57" style="52" customWidth="1"/>
    <col min="7" max="7" width="57.5703125" style="52" customWidth="1"/>
    <col min="8" max="10" width="20.5703125" style="52" customWidth="1"/>
    <col min="11" max="11" width="16" style="52" customWidth="1"/>
    <col min="12" max="12" width="20.5703125" style="52" customWidth="1"/>
    <col min="13" max="13" width="21.28515625" style="52" customWidth="1"/>
    <col min="14" max="14" width="23.85546875" style="52" customWidth="1"/>
    <col min="15" max="15" width="17.85546875" style="52" customWidth="1"/>
    <col min="16" max="16" width="23.85546875" style="52" customWidth="1"/>
    <col min="17" max="17" width="58" style="52" customWidth="1"/>
    <col min="18" max="18" width="27" style="52" customWidth="1"/>
    <col min="19" max="19" width="43" style="52" customWidth="1"/>
    <col min="20" max="16384" width="9.140625" style="52"/>
  </cols>
  <sheetData>
    <row r="1" spans="1:24" s="2" customFormat="1" ht="18.75" customHeight="1" x14ac:dyDescent="0.2">
      <c r="A1" s="21"/>
      <c r="S1" s="22" t="s">
        <v>57</v>
      </c>
    </row>
    <row r="2" spans="1:24" s="2" customFormat="1" ht="18.75" customHeight="1" x14ac:dyDescent="0.3">
      <c r="A2" s="21"/>
      <c r="S2" s="23" t="s">
        <v>6</v>
      </c>
    </row>
    <row r="3" spans="1:24" s="2" customFormat="1" ht="18.75" x14ac:dyDescent="0.3">
      <c r="S3" s="23" t="s">
        <v>56</v>
      </c>
    </row>
    <row r="4" spans="1:24" s="2" customFormat="1" ht="15.75" x14ac:dyDescent="0.2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2" customFormat="1" ht="15.75" x14ac:dyDescent="0.2">
      <c r="A5" s="24"/>
    </row>
    <row r="6" spans="1:24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2" customFormat="1" ht="18.75" customHeight="1" x14ac:dyDescent="0.2">
      <c r="A8" s="212" t="s">
        <v>308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</row>
    <row r="9" spans="1:24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</row>
    <row r="10" spans="1:24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2" customFormat="1" ht="18.75" customHeight="1" x14ac:dyDescent="0.2">
      <c r="A11" s="212" t="str">
        <f>'1. паспорт местоположение'!A12:C12</f>
        <v>O_Che479_24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</row>
    <row r="12" spans="1:24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</row>
    <row r="13" spans="1:24" s="36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</row>
    <row r="14" spans="1:24" s="37" customFormat="1" ht="40.5" customHeight="1" x14ac:dyDescent="0.2">
      <c r="A14" s="214" t="str">
        <f>'1. паспорт местоположение'!A15:C15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</row>
    <row r="15" spans="1:24" s="37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</row>
    <row r="16" spans="1:24" s="37" customFormat="1" ht="15" customHeight="1" x14ac:dyDescent="0.2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58"/>
      <c r="U16" s="58"/>
      <c r="V16" s="58"/>
      <c r="W16" s="58"/>
      <c r="X16" s="58"/>
    </row>
    <row r="17" spans="1:27" s="37" customFormat="1" ht="45.75" customHeight="1" x14ac:dyDescent="0.2">
      <c r="A17" s="222" t="s">
        <v>454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66"/>
      <c r="U17" s="66"/>
      <c r="V17" s="66"/>
      <c r="W17" s="66"/>
      <c r="X17" s="66"/>
      <c r="Y17" s="66"/>
      <c r="Z17" s="66"/>
      <c r="AA17" s="66"/>
    </row>
    <row r="18" spans="1:27" s="37" customFormat="1" ht="15" customHeight="1" x14ac:dyDescent="0.2">
      <c r="A18" s="218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58"/>
      <c r="U18" s="58"/>
      <c r="V18" s="58"/>
      <c r="W18" s="58"/>
      <c r="X18" s="58"/>
    </row>
    <row r="19" spans="1:27" s="37" customFormat="1" ht="54" customHeight="1" x14ac:dyDescent="0.2">
      <c r="A19" s="216" t="s">
        <v>1</v>
      </c>
      <c r="B19" s="216" t="s">
        <v>309</v>
      </c>
      <c r="C19" s="219" t="s">
        <v>310</v>
      </c>
      <c r="D19" s="216" t="s">
        <v>311</v>
      </c>
      <c r="E19" s="216" t="s">
        <v>312</v>
      </c>
      <c r="F19" s="216" t="s">
        <v>313</v>
      </c>
      <c r="G19" s="216" t="s">
        <v>314</v>
      </c>
      <c r="H19" s="216" t="s">
        <v>315</v>
      </c>
      <c r="I19" s="216" t="s">
        <v>316</v>
      </c>
      <c r="J19" s="216" t="s">
        <v>317</v>
      </c>
      <c r="K19" s="216" t="s">
        <v>318</v>
      </c>
      <c r="L19" s="216" t="s">
        <v>319</v>
      </c>
      <c r="M19" s="216" t="s">
        <v>320</v>
      </c>
      <c r="N19" s="216" t="s">
        <v>321</v>
      </c>
      <c r="O19" s="216" t="s">
        <v>322</v>
      </c>
      <c r="P19" s="216" t="s">
        <v>323</v>
      </c>
      <c r="Q19" s="216" t="s">
        <v>324</v>
      </c>
      <c r="R19" s="216"/>
      <c r="S19" s="221" t="s">
        <v>325</v>
      </c>
      <c r="T19" s="58"/>
      <c r="U19" s="58"/>
      <c r="V19" s="58"/>
      <c r="W19" s="58"/>
      <c r="X19" s="58"/>
    </row>
    <row r="20" spans="1:27" s="37" customFormat="1" ht="180.75" customHeight="1" x14ac:dyDescent="0.2">
      <c r="A20" s="216"/>
      <c r="B20" s="216"/>
      <c r="C20" s="220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89" t="s">
        <v>326</v>
      </c>
      <c r="R20" s="38" t="s">
        <v>327</v>
      </c>
      <c r="S20" s="221"/>
      <c r="T20" s="60"/>
      <c r="U20" s="60"/>
      <c r="V20" s="60"/>
      <c r="W20" s="60"/>
      <c r="X20" s="60"/>
      <c r="Y20" s="72"/>
      <c r="Z20" s="72"/>
      <c r="AA20" s="72"/>
    </row>
    <row r="21" spans="1:27" s="37" customFormat="1" ht="18.75" x14ac:dyDescent="0.2">
      <c r="A21" s="89">
        <v>1</v>
      </c>
      <c r="B21" s="113">
        <v>2</v>
      </c>
      <c r="C21" s="89">
        <v>3</v>
      </c>
      <c r="D21" s="113">
        <v>4</v>
      </c>
      <c r="E21" s="89">
        <v>5</v>
      </c>
      <c r="F21" s="113">
        <v>6</v>
      </c>
      <c r="G21" s="89">
        <v>7</v>
      </c>
      <c r="H21" s="113">
        <v>8</v>
      </c>
      <c r="I21" s="89">
        <v>9</v>
      </c>
      <c r="J21" s="113">
        <v>10</v>
      </c>
      <c r="K21" s="89">
        <v>11</v>
      </c>
      <c r="L21" s="113">
        <v>12</v>
      </c>
      <c r="M21" s="89">
        <v>13</v>
      </c>
      <c r="N21" s="113">
        <v>14</v>
      </c>
      <c r="O21" s="89">
        <v>15</v>
      </c>
      <c r="P21" s="113">
        <v>16</v>
      </c>
      <c r="Q21" s="89">
        <v>17</v>
      </c>
      <c r="R21" s="113">
        <v>18</v>
      </c>
      <c r="S21" s="89">
        <v>19</v>
      </c>
      <c r="T21" s="60"/>
      <c r="U21" s="60"/>
      <c r="V21" s="60"/>
      <c r="W21" s="60"/>
      <c r="X21" s="60"/>
      <c r="Y21" s="72"/>
      <c r="Z21" s="72"/>
      <c r="AA21" s="72"/>
    </row>
    <row r="22" spans="1:27" s="117" customFormat="1" ht="72.75" customHeight="1" x14ac:dyDescent="0.2">
      <c r="A22" s="181">
        <v>1</v>
      </c>
      <c r="B22" s="182" t="s">
        <v>483</v>
      </c>
      <c r="C22" s="182" t="s">
        <v>447</v>
      </c>
      <c r="D22" s="182" t="str">
        <f>IF(B22="нд","нд",IF('[2]3.3 паспорт описание'!C31="Объект введен на основные фонды",'[2]3.3 паспорт описание'!C31,"в работе"))</f>
        <v>в работе</v>
      </c>
      <c r="E22" s="183" t="s">
        <v>300</v>
      </c>
      <c r="F22" s="182" t="s">
        <v>472</v>
      </c>
      <c r="G22" s="182" t="s">
        <v>484</v>
      </c>
      <c r="H22" s="182">
        <v>1.26</v>
      </c>
      <c r="I22" s="184">
        <v>0</v>
      </c>
      <c r="J22" s="182">
        <v>10</v>
      </c>
      <c r="K22" s="183" t="s">
        <v>300</v>
      </c>
      <c r="L22" s="183" t="s">
        <v>300</v>
      </c>
      <c r="M22" s="182" t="s">
        <v>300</v>
      </c>
      <c r="N22" s="183" t="s">
        <v>300</v>
      </c>
      <c r="O22" s="183" t="s">
        <v>300</v>
      </c>
      <c r="P22" s="183" t="s">
        <v>300</v>
      </c>
      <c r="Q22" s="183" t="s">
        <v>300</v>
      </c>
      <c r="R22" s="183" t="s">
        <v>300</v>
      </c>
      <c r="S22" s="184">
        <v>220.34938048000001</v>
      </c>
      <c r="T22" s="115"/>
      <c r="U22" s="115"/>
      <c r="V22" s="115"/>
      <c r="W22" s="115"/>
      <c r="X22" s="115"/>
      <c r="Y22" s="116"/>
      <c r="Z22" s="116"/>
      <c r="AA22" s="116"/>
    </row>
    <row r="23" spans="1:27" s="117" customFormat="1" ht="18.75" x14ac:dyDescent="0.2">
      <c r="A23" s="5" t="s">
        <v>394</v>
      </c>
      <c r="B23" s="5" t="s">
        <v>394</v>
      </c>
      <c r="C23" s="5"/>
      <c r="D23" s="5"/>
      <c r="E23" s="5" t="s">
        <v>394</v>
      </c>
      <c r="F23" s="5" t="s">
        <v>394</v>
      </c>
      <c r="G23" s="5" t="s">
        <v>394</v>
      </c>
      <c r="H23" s="5" t="s">
        <v>394</v>
      </c>
      <c r="I23" s="5"/>
      <c r="J23" s="5"/>
      <c r="K23" s="5"/>
      <c r="L23" s="5"/>
      <c r="M23" s="5" t="s">
        <v>394</v>
      </c>
      <c r="N23" s="5" t="s">
        <v>394</v>
      </c>
      <c r="O23" s="5" t="s">
        <v>394</v>
      </c>
      <c r="P23" s="5" t="s">
        <v>394</v>
      </c>
      <c r="Q23" s="5" t="s">
        <v>394</v>
      </c>
      <c r="R23" s="118"/>
      <c r="S23" s="118"/>
      <c r="T23" s="115"/>
      <c r="U23" s="115"/>
      <c r="V23" s="115"/>
      <c r="W23" s="116"/>
      <c r="X23" s="116"/>
      <c r="Y23" s="116"/>
      <c r="Z23" s="116"/>
      <c r="AA23" s="116"/>
    </row>
    <row r="24" spans="1:27" ht="20.25" customHeight="1" x14ac:dyDescent="0.25">
      <c r="A24" s="119"/>
      <c r="B24" s="114" t="s">
        <v>446</v>
      </c>
      <c r="C24" s="114"/>
      <c r="D24" s="114"/>
      <c r="E24" s="119" t="s">
        <v>447</v>
      </c>
      <c r="F24" s="119" t="s">
        <v>447</v>
      </c>
      <c r="G24" s="119" t="s">
        <v>447</v>
      </c>
      <c r="H24" s="119"/>
      <c r="I24" s="119"/>
      <c r="J24" s="119"/>
      <c r="K24" s="119"/>
      <c r="L24" s="119"/>
      <c r="M24" s="119"/>
      <c r="N24" s="119"/>
      <c r="O24" s="119"/>
      <c r="P24" s="119"/>
      <c r="Q24" s="120"/>
      <c r="R24" s="121"/>
      <c r="S24" s="121"/>
      <c r="T24" s="51"/>
      <c r="U24" s="51"/>
      <c r="V24" s="51"/>
      <c r="W24" s="51"/>
      <c r="X24" s="51"/>
      <c r="Y24" s="51"/>
      <c r="Z24" s="51"/>
      <c r="AA24" s="51"/>
    </row>
    <row r="25" spans="1:27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</row>
    <row r="26" spans="1:27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</row>
    <row r="27" spans="1:27" x14ac:dyDescent="0.2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</row>
    <row r="28" spans="1:27" x14ac:dyDescent="0.25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</row>
    <row r="29" spans="1:27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</row>
    <row r="30" spans="1:27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</row>
    <row r="31" spans="1:27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</row>
    <row r="32" spans="1:27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</row>
    <row r="33" spans="1:27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</row>
    <row r="34" spans="1:27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</row>
    <row r="35" spans="1:27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</row>
    <row r="36" spans="1:27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</row>
    <row r="37" spans="1:27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</row>
    <row r="38" spans="1:27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</row>
    <row r="39" spans="1:27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</row>
    <row r="40" spans="1:27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</row>
    <row r="41" spans="1:27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</row>
    <row r="42" spans="1:27" x14ac:dyDescent="0.2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</row>
    <row r="43" spans="1:27" x14ac:dyDescent="0.2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</row>
    <row r="44" spans="1:27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</row>
    <row r="45" spans="1:27" x14ac:dyDescent="0.2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</row>
    <row r="46" spans="1:27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7" x14ac:dyDescent="0.2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</row>
    <row r="48" spans="1:27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</row>
    <row r="49" spans="1:27" x14ac:dyDescent="0.2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</row>
    <row r="50" spans="1:27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</row>
    <row r="51" spans="1:27" x14ac:dyDescent="0.2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</row>
    <row r="52" spans="1:27" x14ac:dyDescent="0.2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</row>
    <row r="53" spans="1:27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</row>
    <row r="54" spans="1:27" x14ac:dyDescent="0.2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</row>
    <row r="55" spans="1:27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</row>
    <row r="56" spans="1:27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</row>
    <row r="57" spans="1:27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</row>
    <row r="58" spans="1:27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</row>
    <row r="59" spans="1:27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</row>
    <row r="60" spans="1:27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</row>
    <row r="61" spans="1:27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</row>
    <row r="62" spans="1:27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</row>
    <row r="63" spans="1:27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</row>
    <row r="64" spans="1:27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</row>
    <row r="65" spans="1:27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</row>
    <row r="66" spans="1:27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</row>
    <row r="67" spans="1:27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</row>
    <row r="68" spans="1:27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</row>
    <row r="69" spans="1:27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</row>
    <row r="70" spans="1:27" x14ac:dyDescent="0.2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</row>
    <row r="71" spans="1:27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</row>
    <row r="72" spans="1:27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</row>
    <row r="73" spans="1:27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</row>
    <row r="74" spans="1:27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</row>
    <row r="75" spans="1:27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</row>
    <row r="76" spans="1:27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</row>
    <row r="77" spans="1:27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</row>
    <row r="78" spans="1:27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</row>
    <row r="79" spans="1:27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</row>
    <row r="80" spans="1:27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</row>
    <row r="81" spans="1:27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</row>
    <row r="82" spans="1:27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</row>
    <row r="83" spans="1:27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</row>
    <row r="84" spans="1:27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</row>
    <row r="85" spans="1:27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</row>
    <row r="86" spans="1:27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</row>
    <row r="87" spans="1:27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</row>
    <row r="88" spans="1:27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</row>
    <row r="89" spans="1:27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</row>
    <row r="90" spans="1:27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</row>
    <row r="91" spans="1:27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</row>
    <row r="92" spans="1:27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</row>
    <row r="93" spans="1:27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</row>
    <row r="94" spans="1:27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</row>
    <row r="95" spans="1:27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27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</row>
    <row r="97" spans="1:27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</row>
    <row r="98" spans="1:27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</row>
    <row r="99" spans="1:27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</row>
    <row r="100" spans="1:27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</row>
    <row r="101" spans="1:27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</row>
    <row r="102" spans="1:27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</row>
    <row r="103" spans="1:27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</row>
    <row r="104" spans="1:27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</row>
    <row r="105" spans="1:27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</row>
    <row r="106" spans="1:27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</row>
    <row r="107" spans="1:27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</row>
    <row r="108" spans="1:27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</row>
    <row r="109" spans="1:27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</row>
    <row r="110" spans="1:27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</row>
    <row r="111" spans="1:27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</row>
    <row r="112" spans="1:27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</row>
    <row r="113" spans="1:27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</row>
    <row r="114" spans="1:27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</row>
    <row r="115" spans="1:27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</row>
    <row r="116" spans="1:27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</row>
    <row r="117" spans="1:27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</row>
    <row r="118" spans="1:27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</row>
    <row r="119" spans="1:27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</row>
    <row r="120" spans="1:27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</row>
    <row r="121" spans="1:27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</row>
    <row r="122" spans="1:27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</row>
    <row r="123" spans="1:27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</row>
    <row r="124" spans="1:27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</row>
    <row r="125" spans="1:27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</row>
    <row r="126" spans="1:27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</row>
    <row r="127" spans="1:27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</row>
    <row r="128" spans="1:27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</row>
    <row r="129" spans="1:27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</row>
    <row r="130" spans="1:27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</row>
    <row r="131" spans="1:27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</row>
    <row r="132" spans="1:27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</row>
    <row r="133" spans="1:27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</row>
    <row r="134" spans="1:27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</row>
    <row r="135" spans="1:27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</row>
    <row r="136" spans="1:27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</row>
    <row r="137" spans="1:27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</row>
    <row r="138" spans="1:27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</row>
    <row r="139" spans="1:27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</row>
    <row r="140" spans="1:27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</row>
    <row r="141" spans="1:27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</row>
    <row r="142" spans="1:27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</row>
    <row r="143" spans="1:27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</row>
    <row r="144" spans="1:27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27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</row>
    <row r="146" spans="1:27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</row>
    <row r="147" spans="1:27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</row>
    <row r="148" spans="1:27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</row>
    <row r="149" spans="1:27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</row>
    <row r="150" spans="1:27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</row>
    <row r="151" spans="1:27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</row>
    <row r="152" spans="1:27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</row>
    <row r="153" spans="1:27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</row>
    <row r="154" spans="1:27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</row>
    <row r="155" spans="1:27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</row>
    <row r="156" spans="1:27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</row>
    <row r="157" spans="1:27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</row>
    <row r="158" spans="1:27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</row>
    <row r="159" spans="1:27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</row>
    <row r="160" spans="1:27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</row>
    <row r="161" spans="1:27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</row>
    <row r="162" spans="1:27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</row>
    <row r="163" spans="1:27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</row>
    <row r="164" spans="1:27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</row>
    <row r="165" spans="1:27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</row>
    <row r="166" spans="1:27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</row>
    <row r="167" spans="1:27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</row>
    <row r="168" spans="1:27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</row>
    <row r="169" spans="1:27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</row>
    <row r="170" spans="1:27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</row>
    <row r="171" spans="1:27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</row>
    <row r="172" spans="1:27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</row>
    <row r="173" spans="1:27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</row>
    <row r="174" spans="1:27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</row>
    <row r="175" spans="1:27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</row>
    <row r="176" spans="1:27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</row>
    <row r="177" spans="1:27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</row>
    <row r="178" spans="1:27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</row>
    <row r="179" spans="1:27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</row>
    <row r="180" spans="1:27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</row>
    <row r="181" spans="1:27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</row>
    <row r="182" spans="1:27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</row>
    <row r="183" spans="1:27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</row>
    <row r="184" spans="1:27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</row>
    <row r="185" spans="1:27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</row>
    <row r="186" spans="1:27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</row>
    <row r="187" spans="1:27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</row>
    <row r="188" spans="1:27" x14ac:dyDescent="0.25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</row>
    <row r="189" spans="1:27" x14ac:dyDescent="0.25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</row>
    <row r="190" spans="1:27" x14ac:dyDescent="0.25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</row>
    <row r="191" spans="1:27" x14ac:dyDescent="0.25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</row>
    <row r="192" spans="1:27" x14ac:dyDescent="0.25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</row>
    <row r="193" spans="1:27" x14ac:dyDescent="0.25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7" x14ac:dyDescent="0.25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</row>
    <row r="195" spans="1:27" x14ac:dyDescent="0.25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</row>
    <row r="196" spans="1:27" x14ac:dyDescent="0.25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</row>
    <row r="197" spans="1:27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</row>
    <row r="198" spans="1:27" x14ac:dyDescent="0.25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</row>
    <row r="199" spans="1:27" x14ac:dyDescent="0.25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</row>
    <row r="200" spans="1:27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</row>
    <row r="201" spans="1:27" x14ac:dyDescent="0.25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</row>
    <row r="202" spans="1:27" x14ac:dyDescent="0.25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</row>
    <row r="203" spans="1:27" x14ac:dyDescent="0.25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</row>
    <row r="204" spans="1:27" x14ac:dyDescent="0.25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</row>
    <row r="205" spans="1:27" x14ac:dyDescent="0.25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</row>
    <row r="206" spans="1:27" x14ac:dyDescent="0.25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</row>
    <row r="207" spans="1:27" x14ac:dyDescent="0.25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</row>
    <row r="208" spans="1:27" x14ac:dyDescent="0.25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</row>
    <row r="209" spans="1:27" x14ac:dyDescent="0.25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</row>
    <row r="210" spans="1:27" x14ac:dyDescent="0.25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</row>
    <row r="211" spans="1:27" x14ac:dyDescent="0.25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</row>
    <row r="212" spans="1:27" x14ac:dyDescent="0.25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</row>
    <row r="213" spans="1:27" x14ac:dyDescent="0.25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</row>
    <row r="214" spans="1:27" x14ac:dyDescent="0.25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</row>
    <row r="215" spans="1:27" x14ac:dyDescent="0.25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</row>
    <row r="216" spans="1:27" x14ac:dyDescent="0.25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</row>
    <row r="217" spans="1:27" x14ac:dyDescent="0.25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</row>
    <row r="218" spans="1:27" x14ac:dyDescent="0.25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</row>
    <row r="219" spans="1:27" x14ac:dyDescent="0.25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</row>
    <row r="220" spans="1:27" x14ac:dyDescent="0.25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</row>
    <row r="221" spans="1:27" x14ac:dyDescent="0.25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</row>
    <row r="222" spans="1:27" x14ac:dyDescent="0.25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</row>
    <row r="223" spans="1:27" x14ac:dyDescent="0.25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</row>
    <row r="224" spans="1:27" x14ac:dyDescent="0.25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</row>
    <row r="225" spans="1:27" x14ac:dyDescent="0.25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</row>
    <row r="226" spans="1:27" x14ac:dyDescent="0.25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</row>
    <row r="227" spans="1:27" x14ac:dyDescent="0.25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</row>
    <row r="228" spans="1:27" x14ac:dyDescent="0.25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</row>
    <row r="229" spans="1:27" x14ac:dyDescent="0.25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</row>
    <row r="230" spans="1:27" x14ac:dyDescent="0.25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</row>
    <row r="231" spans="1:27" x14ac:dyDescent="0.25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</row>
    <row r="232" spans="1:27" x14ac:dyDescent="0.25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</row>
    <row r="233" spans="1:27" x14ac:dyDescent="0.25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</row>
    <row r="234" spans="1:27" x14ac:dyDescent="0.25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</row>
    <row r="235" spans="1:27" x14ac:dyDescent="0.25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</row>
    <row r="236" spans="1:27" x14ac:dyDescent="0.25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</row>
    <row r="237" spans="1:27" x14ac:dyDescent="0.25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</row>
    <row r="238" spans="1:27" x14ac:dyDescent="0.25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</row>
    <row r="239" spans="1:27" x14ac:dyDescent="0.25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</row>
    <row r="240" spans="1:27" x14ac:dyDescent="0.25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</row>
    <row r="241" spans="1:27" x14ac:dyDescent="0.25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</row>
    <row r="242" spans="1:27" x14ac:dyDescent="0.25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</row>
    <row r="243" spans="1:27" x14ac:dyDescent="0.25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</row>
    <row r="244" spans="1:27" x14ac:dyDescent="0.25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</row>
    <row r="245" spans="1:27" x14ac:dyDescent="0.25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</row>
    <row r="246" spans="1:27" x14ac:dyDescent="0.25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</row>
    <row r="247" spans="1:27" x14ac:dyDescent="0.25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</row>
    <row r="248" spans="1:27" x14ac:dyDescent="0.25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</row>
    <row r="249" spans="1:27" x14ac:dyDescent="0.25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</row>
    <row r="250" spans="1:27" x14ac:dyDescent="0.25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</row>
    <row r="251" spans="1:27" x14ac:dyDescent="0.25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</row>
    <row r="252" spans="1:27" x14ac:dyDescent="0.25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</row>
    <row r="253" spans="1:27" x14ac:dyDescent="0.25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</row>
    <row r="254" spans="1:27" x14ac:dyDescent="0.25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</row>
    <row r="255" spans="1:27" x14ac:dyDescent="0.25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</row>
    <row r="256" spans="1:27" x14ac:dyDescent="0.25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</row>
    <row r="257" spans="1:27" x14ac:dyDescent="0.25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</row>
    <row r="258" spans="1:27" x14ac:dyDescent="0.25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</row>
    <row r="259" spans="1:27" x14ac:dyDescent="0.25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</row>
    <row r="260" spans="1:27" x14ac:dyDescent="0.25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</row>
    <row r="261" spans="1:27" x14ac:dyDescent="0.25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</row>
    <row r="262" spans="1:27" x14ac:dyDescent="0.25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</row>
    <row r="263" spans="1:27" x14ac:dyDescent="0.25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</row>
    <row r="264" spans="1:27" x14ac:dyDescent="0.25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</row>
    <row r="265" spans="1:27" x14ac:dyDescent="0.25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</row>
    <row r="266" spans="1:27" x14ac:dyDescent="0.25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</row>
    <row r="267" spans="1:27" x14ac:dyDescent="0.25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</row>
    <row r="268" spans="1:27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</row>
    <row r="269" spans="1:27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</row>
    <row r="270" spans="1:27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</row>
    <row r="271" spans="1:27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</row>
    <row r="272" spans="1:27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</row>
    <row r="273" spans="1:27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</row>
    <row r="274" spans="1:27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</row>
    <row r="275" spans="1:27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</row>
    <row r="276" spans="1:27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</row>
    <row r="277" spans="1:27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</row>
    <row r="278" spans="1:27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</row>
    <row r="279" spans="1:27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</row>
    <row r="280" spans="1:27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</row>
    <row r="281" spans="1:27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</row>
    <row r="282" spans="1:27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</row>
    <row r="283" spans="1:27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</row>
    <row r="284" spans="1:27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</row>
    <row r="285" spans="1:27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</row>
    <row r="286" spans="1:27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</row>
    <row r="287" spans="1:27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</row>
    <row r="288" spans="1:27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</row>
    <row r="289" spans="1:27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</row>
    <row r="290" spans="1:27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</row>
    <row r="291" spans="1:27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</row>
    <row r="292" spans="1:27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</row>
    <row r="293" spans="1:27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</row>
    <row r="294" spans="1:27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</row>
    <row r="295" spans="1:27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</row>
    <row r="296" spans="1:27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</row>
    <row r="297" spans="1:27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</row>
    <row r="298" spans="1:27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</row>
    <row r="299" spans="1:27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</row>
    <row r="300" spans="1:27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</row>
    <row r="301" spans="1:27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</row>
    <row r="302" spans="1:27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</row>
    <row r="303" spans="1:27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</row>
    <row r="304" spans="1:27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</row>
    <row r="305" spans="1:27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</row>
    <row r="306" spans="1:27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</row>
    <row r="307" spans="1:27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</row>
    <row r="308" spans="1:27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</row>
    <row r="309" spans="1:27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</row>
    <row r="310" spans="1:27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</row>
    <row r="311" spans="1:27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</row>
    <row r="312" spans="1:27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</row>
    <row r="313" spans="1:27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</row>
    <row r="314" spans="1:27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</row>
    <row r="315" spans="1:27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</row>
    <row r="316" spans="1:27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</row>
    <row r="317" spans="1:27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</row>
    <row r="318" spans="1:27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</row>
    <row r="319" spans="1:27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</row>
    <row r="320" spans="1:27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</row>
    <row r="321" spans="1:27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</row>
    <row r="322" spans="1:27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</row>
    <row r="323" spans="1:27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</row>
    <row r="324" spans="1:27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</row>
    <row r="325" spans="1:27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</row>
    <row r="326" spans="1:27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</row>
    <row r="327" spans="1:27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</row>
    <row r="328" spans="1:27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</row>
    <row r="329" spans="1:27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</row>
    <row r="330" spans="1:27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</row>
    <row r="331" spans="1:27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</row>
    <row r="332" spans="1:27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</row>
    <row r="333" spans="1:27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</row>
    <row r="334" spans="1:27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</row>
    <row r="335" spans="1:27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</row>
    <row r="336" spans="1:27" x14ac:dyDescent="0.25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</row>
    <row r="337" spans="1:27" x14ac:dyDescent="0.25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</row>
    <row r="338" spans="1:27" x14ac:dyDescent="0.25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</row>
    <row r="339" spans="1:27" x14ac:dyDescent="0.25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</row>
    <row r="340" spans="1:27" x14ac:dyDescent="0.25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</row>
    <row r="341" spans="1:27" x14ac:dyDescent="0.25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</row>
    <row r="342" spans="1:27" x14ac:dyDescent="0.25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</row>
    <row r="343" spans="1:27" x14ac:dyDescent="0.25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</row>
    <row r="344" spans="1:27" x14ac:dyDescent="0.25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</row>
    <row r="345" spans="1:27" x14ac:dyDescent="0.25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</row>
    <row r="346" spans="1:27" x14ac:dyDescent="0.25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</row>
    <row r="347" spans="1:27" x14ac:dyDescent="0.25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</row>
    <row r="348" spans="1:27" x14ac:dyDescent="0.25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</row>
    <row r="349" spans="1:27" x14ac:dyDescent="0.25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</row>
    <row r="350" spans="1:27" x14ac:dyDescent="0.25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</row>
    <row r="351" spans="1:27" x14ac:dyDescent="0.25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</row>
    <row r="352" spans="1:27" x14ac:dyDescent="0.25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</row>
    <row r="353" spans="1:27" x14ac:dyDescent="0.25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</row>
    <row r="354" spans="1:27" x14ac:dyDescent="0.25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</row>
    <row r="355" spans="1:27" x14ac:dyDescent="0.25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</row>
    <row r="356" spans="1:27" x14ac:dyDescent="0.25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</row>
    <row r="357" spans="1:27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</row>
    <row r="358" spans="1:27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</row>
    <row r="359" spans="1:27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40" customWidth="1"/>
    <col min="2" max="2" width="8.7109375" style="40" customWidth="1"/>
    <col min="3" max="3" width="26" style="40" customWidth="1"/>
    <col min="4" max="4" width="16.140625" style="40" customWidth="1"/>
    <col min="5" max="5" width="11.140625" style="40" customWidth="1"/>
    <col min="6" max="6" width="11" style="40" customWidth="1"/>
    <col min="7" max="7" width="8.7109375" style="40" customWidth="1"/>
    <col min="8" max="8" width="11.28515625" style="40" customWidth="1"/>
    <col min="9" max="9" width="7.28515625" style="40" customWidth="1"/>
    <col min="10" max="10" width="9.28515625" style="40" customWidth="1"/>
    <col min="11" max="11" width="10.28515625" style="40" customWidth="1"/>
    <col min="12" max="15" width="8.7109375" style="40" customWidth="1"/>
    <col min="16" max="16" width="19.42578125" style="40" customWidth="1"/>
    <col min="17" max="17" width="21.7109375" style="40" customWidth="1"/>
    <col min="18" max="18" width="22" style="40" customWidth="1"/>
    <col min="19" max="19" width="19.7109375" style="40" customWidth="1"/>
    <col min="20" max="20" width="18.42578125" style="40" customWidth="1"/>
    <col min="21" max="237" width="10.7109375" style="40"/>
    <col min="238" max="242" width="15.7109375" style="40" customWidth="1"/>
    <col min="243" max="246" width="12.7109375" style="40" customWidth="1"/>
    <col min="247" max="250" width="15.7109375" style="40" customWidth="1"/>
    <col min="251" max="251" width="22.85546875" style="40" customWidth="1"/>
    <col min="252" max="252" width="20.7109375" style="40" customWidth="1"/>
    <col min="253" max="253" width="16.7109375" style="40" customWidth="1"/>
    <col min="254" max="16384" width="10.7109375" style="40"/>
  </cols>
  <sheetData>
    <row r="1" spans="1:20" ht="3" customHeight="1" x14ac:dyDescent="0.25"/>
    <row r="2" spans="1:20" ht="15" customHeight="1" x14ac:dyDescent="0.25">
      <c r="T2" s="22" t="s">
        <v>57</v>
      </c>
    </row>
    <row r="3" spans="1:20" s="2" customFormat="1" ht="18.75" customHeight="1" x14ac:dyDescent="0.3">
      <c r="A3" s="21"/>
      <c r="T3" s="23" t="s">
        <v>6</v>
      </c>
    </row>
    <row r="4" spans="1:20" s="2" customFormat="1" ht="18.75" customHeight="1" x14ac:dyDescent="0.3">
      <c r="A4" s="21"/>
      <c r="T4" s="23" t="s">
        <v>56</v>
      </c>
    </row>
    <row r="5" spans="1:20" s="2" customFormat="1" ht="18.75" customHeight="1" x14ac:dyDescent="0.3">
      <c r="A5" s="21"/>
      <c r="T5" s="23"/>
    </row>
    <row r="6" spans="1:20" s="2" customFormat="1" x14ac:dyDescent="0.2">
      <c r="A6" s="207" t="str">
        <f>'1. паспорт местоположение'!$A$5</f>
        <v>Год раскрытия информации: 2024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x14ac:dyDescent="0.2">
      <c r="A7" s="24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308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O_Che479_24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36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37" customFormat="1" ht="90.75" customHeight="1" x14ac:dyDescent="0.2">
      <c r="A16" s="214" t="str">
        <f>'1. паспорт местоположение'!A15:C15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113" s="37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113" s="37" customFormat="1" ht="15" customHeight="1" x14ac:dyDescent="0.2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</row>
    <row r="19" spans="1:113" s="37" customFormat="1" ht="15" customHeight="1" x14ac:dyDescent="0.2">
      <c r="A19" s="223" t="s">
        <v>328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</row>
    <row r="20" spans="1:113" s="39" customFormat="1" ht="21" customHeight="1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</row>
    <row r="21" spans="1:113" ht="46.5" customHeight="1" x14ac:dyDescent="0.25">
      <c r="A21" s="236" t="s">
        <v>1</v>
      </c>
      <c r="B21" s="225" t="s">
        <v>329</v>
      </c>
      <c r="C21" s="226"/>
      <c r="D21" s="229" t="s">
        <v>330</v>
      </c>
      <c r="E21" s="225" t="s">
        <v>331</v>
      </c>
      <c r="F21" s="226"/>
      <c r="G21" s="225" t="s">
        <v>332</v>
      </c>
      <c r="H21" s="226"/>
      <c r="I21" s="225" t="s">
        <v>333</v>
      </c>
      <c r="J21" s="226"/>
      <c r="K21" s="229" t="s">
        <v>334</v>
      </c>
      <c r="L21" s="225" t="s">
        <v>335</v>
      </c>
      <c r="M21" s="226"/>
      <c r="N21" s="225" t="s">
        <v>357</v>
      </c>
      <c r="O21" s="226"/>
      <c r="P21" s="229" t="s">
        <v>336</v>
      </c>
      <c r="Q21" s="232" t="s">
        <v>337</v>
      </c>
      <c r="R21" s="233"/>
      <c r="S21" s="232" t="s">
        <v>338</v>
      </c>
      <c r="T21" s="234"/>
    </row>
    <row r="22" spans="1:113" ht="204.75" customHeight="1" x14ac:dyDescent="0.25">
      <c r="A22" s="237"/>
      <c r="B22" s="227"/>
      <c r="C22" s="228"/>
      <c r="D22" s="231"/>
      <c r="E22" s="227"/>
      <c r="F22" s="228"/>
      <c r="G22" s="227"/>
      <c r="H22" s="228"/>
      <c r="I22" s="227"/>
      <c r="J22" s="228"/>
      <c r="K22" s="230"/>
      <c r="L22" s="227"/>
      <c r="M22" s="228"/>
      <c r="N22" s="227"/>
      <c r="O22" s="228"/>
      <c r="P22" s="230"/>
      <c r="Q22" s="41" t="s">
        <v>339</v>
      </c>
      <c r="R22" s="41" t="s">
        <v>340</v>
      </c>
      <c r="S22" s="41" t="s">
        <v>341</v>
      </c>
      <c r="T22" s="41" t="s">
        <v>342</v>
      </c>
    </row>
    <row r="23" spans="1:113" ht="51.75" customHeight="1" x14ac:dyDescent="0.25">
      <c r="A23" s="238"/>
      <c r="B23" s="41" t="s">
        <v>343</v>
      </c>
      <c r="C23" s="41" t="s">
        <v>344</v>
      </c>
      <c r="D23" s="230"/>
      <c r="E23" s="41" t="s">
        <v>343</v>
      </c>
      <c r="F23" s="41" t="s">
        <v>344</v>
      </c>
      <c r="G23" s="41" t="s">
        <v>343</v>
      </c>
      <c r="H23" s="41" t="s">
        <v>344</v>
      </c>
      <c r="I23" s="41" t="s">
        <v>343</v>
      </c>
      <c r="J23" s="41" t="s">
        <v>344</v>
      </c>
      <c r="K23" s="41" t="s">
        <v>343</v>
      </c>
      <c r="L23" s="41" t="s">
        <v>343</v>
      </c>
      <c r="M23" s="41" t="s">
        <v>344</v>
      </c>
      <c r="N23" s="41" t="s">
        <v>343</v>
      </c>
      <c r="O23" s="41" t="s">
        <v>344</v>
      </c>
      <c r="P23" s="61" t="s">
        <v>343</v>
      </c>
      <c r="Q23" s="41" t="s">
        <v>343</v>
      </c>
      <c r="R23" s="41" t="s">
        <v>343</v>
      </c>
      <c r="S23" s="41" t="s">
        <v>343</v>
      </c>
      <c r="T23" s="41" t="s">
        <v>343</v>
      </c>
    </row>
    <row r="24" spans="1:113" x14ac:dyDescent="0.25">
      <c r="A24" s="42">
        <v>1</v>
      </c>
      <c r="B24" s="42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  <c r="M24" s="42">
        <v>13</v>
      </c>
      <c r="N24" s="42">
        <v>14</v>
      </c>
      <c r="O24" s="42">
        <v>15</v>
      </c>
      <c r="P24" s="42">
        <v>16</v>
      </c>
      <c r="Q24" s="42">
        <v>17</v>
      </c>
      <c r="R24" s="42">
        <v>18</v>
      </c>
      <c r="S24" s="42">
        <v>19</v>
      </c>
      <c r="T24" s="42">
        <v>20</v>
      </c>
    </row>
    <row r="25" spans="1:113" s="39" customFormat="1" ht="54" customHeight="1" x14ac:dyDescent="0.25">
      <c r="A25" s="43">
        <v>1</v>
      </c>
      <c r="B25" s="44" t="s">
        <v>300</v>
      </c>
      <c r="C25" s="44" t="s">
        <v>300</v>
      </c>
      <c r="D25" s="44" t="s">
        <v>300</v>
      </c>
      <c r="E25" s="44" t="s">
        <v>300</v>
      </c>
      <c r="F25" s="44" t="s">
        <v>300</v>
      </c>
      <c r="G25" s="44" t="s">
        <v>300</v>
      </c>
      <c r="H25" s="44" t="s">
        <v>300</v>
      </c>
      <c r="I25" s="44" t="s">
        <v>300</v>
      </c>
      <c r="J25" s="44" t="s">
        <v>300</v>
      </c>
      <c r="K25" s="44" t="s">
        <v>300</v>
      </c>
      <c r="L25" s="44" t="s">
        <v>300</v>
      </c>
      <c r="M25" s="44" t="s">
        <v>300</v>
      </c>
      <c r="N25" s="44" t="s">
        <v>300</v>
      </c>
      <c r="O25" s="44" t="s">
        <v>300</v>
      </c>
      <c r="P25" s="44" t="s">
        <v>300</v>
      </c>
      <c r="Q25" s="44" t="s">
        <v>300</v>
      </c>
      <c r="R25" s="44" t="s">
        <v>300</v>
      </c>
      <c r="S25" s="44" t="s">
        <v>300</v>
      </c>
      <c r="T25" s="44" t="s">
        <v>300</v>
      </c>
    </row>
    <row r="26" spans="1:113" ht="3" customHeight="1" x14ac:dyDescent="0.25"/>
    <row r="27" spans="1:113" s="106" customFormat="1" ht="12.75" x14ac:dyDescent="0.2">
      <c r="B27" s="105"/>
      <c r="C27" s="105"/>
      <c r="K27" s="105"/>
    </row>
    <row r="28" spans="1:113" s="106" customFormat="1" x14ac:dyDescent="0.25">
      <c r="B28" s="108" t="s">
        <v>345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</row>
    <row r="29" spans="1:113" x14ac:dyDescent="0.25">
      <c r="B29" s="224" t="s">
        <v>346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13" x14ac:dyDescent="0.25"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</row>
    <row r="31" spans="1:113" x14ac:dyDescent="0.25">
      <c r="B31" s="109" t="s">
        <v>347</v>
      </c>
      <c r="C31" s="109"/>
      <c r="D31" s="109"/>
      <c r="E31" s="109"/>
      <c r="F31" s="110"/>
      <c r="G31" s="110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11"/>
      <c r="T31" s="111"/>
      <c r="U31" s="111"/>
      <c r="V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/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/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</row>
    <row r="32" spans="1:113" x14ac:dyDescent="0.25">
      <c r="B32" s="109" t="s">
        <v>348</v>
      </c>
      <c r="C32" s="109"/>
      <c r="D32" s="109"/>
      <c r="E32" s="109"/>
      <c r="F32" s="110"/>
      <c r="G32" s="110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</row>
    <row r="33" spans="2:113" s="110" customFormat="1" x14ac:dyDescent="0.25">
      <c r="B33" s="109" t="s">
        <v>349</v>
      </c>
      <c r="C33" s="109"/>
      <c r="D33" s="109"/>
      <c r="E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</row>
    <row r="34" spans="2:113" s="110" customFormat="1" x14ac:dyDescent="0.25">
      <c r="B34" s="109" t="s">
        <v>350</v>
      </c>
      <c r="C34" s="109"/>
      <c r="D34" s="109"/>
      <c r="E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</row>
    <row r="35" spans="2:113" s="110" customFormat="1" x14ac:dyDescent="0.25">
      <c r="B35" s="109" t="s">
        <v>351</v>
      </c>
      <c r="C35" s="109"/>
      <c r="D35" s="109"/>
      <c r="E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</row>
    <row r="36" spans="2:113" s="110" customFormat="1" x14ac:dyDescent="0.25">
      <c r="B36" s="109" t="s">
        <v>352</v>
      </c>
      <c r="C36" s="109"/>
      <c r="D36" s="109"/>
      <c r="E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</row>
    <row r="37" spans="2:113" s="110" customFormat="1" x14ac:dyDescent="0.25">
      <c r="B37" s="109" t="s">
        <v>353</v>
      </c>
      <c r="C37" s="109"/>
      <c r="D37" s="109"/>
      <c r="E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</row>
    <row r="38" spans="2:113" s="110" customFormat="1" x14ac:dyDescent="0.25">
      <c r="B38" s="109" t="s">
        <v>354</v>
      </c>
      <c r="C38" s="109"/>
      <c r="D38" s="109"/>
      <c r="E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</row>
    <row r="39" spans="2:113" s="110" customFormat="1" x14ac:dyDescent="0.25">
      <c r="B39" s="109" t="s">
        <v>355</v>
      </c>
      <c r="C39" s="109"/>
      <c r="D39" s="109"/>
      <c r="E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2"/>
      <c r="CE39" s="112"/>
      <c r="CF39" s="112"/>
      <c r="CG39" s="112"/>
      <c r="CH39" s="112"/>
      <c r="CI39" s="112"/>
      <c r="CJ39" s="112"/>
      <c r="CK39" s="112"/>
      <c r="CL39" s="112"/>
      <c r="CM39" s="112"/>
      <c r="CN39" s="112"/>
      <c r="CO39" s="112"/>
      <c r="CP39" s="112"/>
      <c r="CQ39" s="112"/>
      <c r="CR39" s="112"/>
      <c r="CS39" s="112"/>
      <c r="CT39" s="112"/>
      <c r="CU39" s="112"/>
      <c r="CV39" s="112"/>
      <c r="CW39" s="112"/>
      <c r="CX39" s="112"/>
      <c r="CY39" s="112"/>
      <c r="CZ39" s="112"/>
      <c r="DA39" s="112"/>
      <c r="DB39" s="112"/>
      <c r="DC39" s="112"/>
      <c r="DD39" s="112"/>
      <c r="DE39" s="112"/>
      <c r="DF39" s="112"/>
      <c r="DG39" s="112"/>
      <c r="DH39" s="112"/>
      <c r="DI39" s="112"/>
    </row>
    <row r="40" spans="2:113" s="110" customFormat="1" x14ac:dyDescent="0.25">
      <c r="B40" s="109" t="s">
        <v>356</v>
      </c>
      <c r="C40" s="109"/>
      <c r="D40" s="109"/>
      <c r="E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</row>
    <row r="41" spans="2:113" s="110" customFormat="1" x14ac:dyDescent="0.25">
      <c r="Q41" s="109"/>
      <c r="R41" s="109"/>
      <c r="S41" s="109"/>
      <c r="T41" s="109"/>
      <c r="U41" s="109"/>
      <c r="V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</row>
    <row r="42" spans="2:113" s="110" customFormat="1" x14ac:dyDescent="0.25"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2"/>
      <c r="DG42" s="112"/>
      <c r="DH42" s="112"/>
      <c r="DI42" s="112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0" customWidth="1"/>
    <col min="4" max="4" width="11.5703125" style="40" customWidth="1"/>
    <col min="5" max="5" width="11.85546875" style="40" customWidth="1"/>
    <col min="6" max="6" width="8.7109375" style="40" customWidth="1"/>
    <col min="7" max="7" width="10.28515625" style="40" customWidth="1"/>
    <col min="8" max="8" width="8.7109375" style="40" customWidth="1"/>
    <col min="9" max="9" width="8.28515625" style="40" customWidth="1"/>
    <col min="10" max="10" width="20.140625" style="40" customWidth="1"/>
    <col min="11" max="11" width="11.140625" style="40" customWidth="1"/>
    <col min="12" max="12" width="8.85546875" style="40" customWidth="1"/>
    <col min="13" max="13" width="8.7109375" style="40" customWidth="1"/>
    <col min="14" max="14" width="13.7109375" style="40" customWidth="1"/>
    <col min="15" max="16" width="8.7109375" style="40" customWidth="1"/>
    <col min="17" max="17" width="11.85546875" style="40" customWidth="1"/>
    <col min="18" max="18" width="12" style="40" customWidth="1"/>
    <col min="19" max="19" width="18.28515625" style="40" customWidth="1"/>
    <col min="20" max="20" width="22.42578125" style="40" customWidth="1"/>
    <col min="21" max="21" width="30.7109375" style="40" customWidth="1"/>
    <col min="22" max="23" width="8.7109375" style="40" customWidth="1"/>
    <col min="24" max="24" width="24.5703125" style="40" customWidth="1"/>
    <col min="25" max="25" width="15.28515625" style="40" customWidth="1"/>
    <col min="26" max="26" width="18.5703125" style="40" customWidth="1"/>
    <col min="27" max="27" width="19.140625" style="40" customWidth="1"/>
    <col min="28" max="240" width="10.7109375" style="40" customWidth="1"/>
    <col min="241" max="242" width="15.7109375" style="40" customWidth="1"/>
    <col min="243" max="245" width="14.7109375" style="40" customWidth="1"/>
    <col min="246" max="249" width="13.7109375" style="40" customWidth="1"/>
    <col min="250" max="253" width="15.7109375" style="40" customWidth="1"/>
    <col min="254" max="254" width="22.85546875" style="40" customWidth="1"/>
    <col min="255" max="255" width="20.7109375" style="40" customWidth="1"/>
    <col min="256" max="16384" width="17.7109375" style="40"/>
  </cols>
  <sheetData>
    <row r="1" spans="1:27" ht="25.5" customHeight="1" x14ac:dyDescent="0.25">
      <c r="AA1" s="22" t="s">
        <v>57</v>
      </c>
    </row>
    <row r="2" spans="1:27" s="2" customFormat="1" ht="18.75" customHeight="1" x14ac:dyDescent="0.3">
      <c r="E2" s="21"/>
      <c r="AA2" s="23" t="s">
        <v>6</v>
      </c>
    </row>
    <row r="3" spans="1:27" s="2" customFormat="1" ht="18.75" customHeight="1" x14ac:dyDescent="0.3">
      <c r="E3" s="21"/>
      <c r="AA3" s="23" t="s">
        <v>56</v>
      </c>
    </row>
    <row r="4" spans="1:27" s="2" customFormat="1" x14ac:dyDescent="0.2">
      <c r="E4" s="24"/>
    </row>
    <row r="5" spans="1:27" s="2" customFormat="1" x14ac:dyDescent="0.2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</row>
    <row r="6" spans="1:27" s="2" customFormat="1" x14ac:dyDescent="0.2">
      <c r="A6" s="24"/>
    </row>
    <row r="7" spans="1:27" s="2" customFormat="1" ht="18.75" x14ac:dyDescent="0.2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</row>
    <row r="8" spans="1:27" s="2" customFormat="1" ht="18.75" x14ac:dyDescent="0.2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7" s="2" customFormat="1" ht="18.75" customHeight="1" x14ac:dyDescent="0.2">
      <c r="A9" s="212" t="s">
        <v>308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</row>
    <row r="10" spans="1:27" s="2" customFormat="1" ht="18.75" customHeight="1" x14ac:dyDescent="0.2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</row>
    <row r="11" spans="1:27" s="2" customFormat="1" ht="18.75" x14ac:dyDescent="0.2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</row>
    <row r="12" spans="1:27" s="2" customFormat="1" ht="18.75" customHeight="1" x14ac:dyDescent="0.2">
      <c r="A12" s="212" t="str">
        <f>'1. паспорт местоположение'!A12:C12</f>
        <v>O_Che479_24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</row>
    <row r="13" spans="1:27" s="2" customFormat="1" ht="18.75" customHeight="1" x14ac:dyDescent="0.2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</row>
    <row r="14" spans="1:27" s="36" customFormat="1" ht="15.75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7" s="37" customFormat="1" x14ac:dyDescent="0.2">
      <c r="A15" s="214" t="str">
        <f>'1. паспорт местоположение'!A15:C15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</row>
    <row r="16" spans="1:27" s="37" customFormat="1" ht="15" customHeight="1" x14ac:dyDescent="0.2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</row>
    <row r="17" spans="1:27" s="37" customFormat="1" ht="15" customHeight="1" x14ac:dyDescent="0.2"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</row>
    <row r="18" spans="1:27" s="37" customFormat="1" ht="15" customHeight="1" x14ac:dyDescent="0.2"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</row>
    <row r="19" spans="1:27" ht="25.5" customHeight="1" x14ac:dyDescent="0.25">
      <c r="A19" s="223" t="s">
        <v>358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</row>
    <row r="20" spans="1:27" s="39" customFormat="1" ht="21" customHeight="1" x14ac:dyDescent="0.25"/>
    <row r="21" spans="1:27" ht="15.75" customHeight="1" x14ac:dyDescent="0.25">
      <c r="A21" s="229" t="s">
        <v>1</v>
      </c>
      <c r="B21" s="225" t="s">
        <v>359</v>
      </c>
      <c r="C21" s="226"/>
      <c r="D21" s="225" t="s">
        <v>360</v>
      </c>
      <c r="E21" s="226"/>
      <c r="F21" s="232" t="s">
        <v>318</v>
      </c>
      <c r="G21" s="234"/>
      <c r="H21" s="234"/>
      <c r="I21" s="233"/>
      <c r="J21" s="229" t="s">
        <v>361</v>
      </c>
      <c r="K21" s="225" t="s">
        <v>362</v>
      </c>
      <c r="L21" s="226"/>
      <c r="M21" s="225" t="s">
        <v>363</v>
      </c>
      <c r="N21" s="226"/>
      <c r="O21" s="225" t="s">
        <v>364</v>
      </c>
      <c r="P21" s="226"/>
      <c r="Q21" s="225" t="s">
        <v>365</v>
      </c>
      <c r="R21" s="226"/>
      <c r="S21" s="229" t="s">
        <v>366</v>
      </c>
      <c r="T21" s="229" t="s">
        <v>367</v>
      </c>
      <c r="U21" s="229" t="s">
        <v>368</v>
      </c>
      <c r="V21" s="225" t="s">
        <v>369</v>
      </c>
      <c r="W21" s="226"/>
      <c r="X21" s="232" t="s">
        <v>337</v>
      </c>
      <c r="Y21" s="234"/>
      <c r="Z21" s="232" t="s">
        <v>338</v>
      </c>
      <c r="AA21" s="234"/>
    </row>
    <row r="22" spans="1:27" ht="216" customHeight="1" x14ac:dyDescent="0.25">
      <c r="A22" s="231"/>
      <c r="B22" s="227"/>
      <c r="C22" s="228"/>
      <c r="D22" s="227"/>
      <c r="E22" s="228"/>
      <c r="F22" s="232" t="s">
        <v>370</v>
      </c>
      <c r="G22" s="233"/>
      <c r="H22" s="232" t="s">
        <v>371</v>
      </c>
      <c r="I22" s="233"/>
      <c r="J22" s="230"/>
      <c r="K22" s="227"/>
      <c r="L22" s="228"/>
      <c r="M22" s="227"/>
      <c r="N22" s="228"/>
      <c r="O22" s="227"/>
      <c r="P22" s="228"/>
      <c r="Q22" s="227"/>
      <c r="R22" s="228"/>
      <c r="S22" s="230"/>
      <c r="T22" s="230"/>
      <c r="U22" s="230"/>
      <c r="V22" s="227"/>
      <c r="W22" s="228"/>
      <c r="X22" s="41" t="s">
        <v>339</v>
      </c>
      <c r="Y22" s="41" t="s">
        <v>340</v>
      </c>
      <c r="Z22" s="41" t="s">
        <v>341</v>
      </c>
      <c r="AA22" s="41" t="s">
        <v>342</v>
      </c>
    </row>
    <row r="23" spans="1:27" ht="60" customHeight="1" x14ac:dyDescent="0.25">
      <c r="A23" s="230"/>
      <c r="B23" s="61" t="s">
        <v>343</v>
      </c>
      <c r="C23" s="149" t="s">
        <v>344</v>
      </c>
      <c r="D23" s="61" t="s">
        <v>343</v>
      </c>
      <c r="E23" s="61" t="s">
        <v>344</v>
      </c>
      <c r="F23" s="61" t="s">
        <v>343</v>
      </c>
      <c r="G23" s="61" t="s">
        <v>344</v>
      </c>
      <c r="H23" s="61" t="s">
        <v>343</v>
      </c>
      <c r="I23" s="61" t="s">
        <v>344</v>
      </c>
      <c r="J23" s="61" t="s">
        <v>343</v>
      </c>
      <c r="K23" s="61" t="s">
        <v>343</v>
      </c>
      <c r="L23" s="61" t="s">
        <v>344</v>
      </c>
      <c r="M23" s="61" t="s">
        <v>343</v>
      </c>
      <c r="N23" s="61" t="s">
        <v>344</v>
      </c>
      <c r="O23" s="61" t="s">
        <v>343</v>
      </c>
      <c r="P23" s="61" t="s">
        <v>344</v>
      </c>
      <c r="Q23" s="61" t="s">
        <v>343</v>
      </c>
      <c r="R23" s="61" t="s">
        <v>344</v>
      </c>
      <c r="S23" s="61" t="s">
        <v>343</v>
      </c>
      <c r="T23" s="61" t="s">
        <v>343</v>
      </c>
      <c r="U23" s="61" t="s">
        <v>343</v>
      </c>
      <c r="V23" s="61" t="s">
        <v>343</v>
      </c>
      <c r="W23" s="61" t="s">
        <v>344</v>
      </c>
      <c r="X23" s="61" t="s">
        <v>343</v>
      </c>
      <c r="Y23" s="61" t="s">
        <v>343</v>
      </c>
      <c r="Z23" s="41" t="s">
        <v>343</v>
      </c>
      <c r="AA23" s="41" t="s">
        <v>343</v>
      </c>
    </row>
    <row r="24" spans="1:27" x14ac:dyDescent="0.25">
      <c r="A24" s="103">
        <v>1</v>
      </c>
      <c r="B24" s="103">
        <v>2</v>
      </c>
      <c r="C24" s="103">
        <v>3</v>
      </c>
      <c r="D24" s="103">
        <v>4</v>
      </c>
      <c r="E24" s="103">
        <v>5</v>
      </c>
      <c r="F24" s="103">
        <v>6</v>
      </c>
      <c r="G24" s="103">
        <v>7</v>
      </c>
      <c r="H24" s="103">
        <v>8</v>
      </c>
      <c r="I24" s="103">
        <v>9</v>
      </c>
      <c r="J24" s="103">
        <v>10</v>
      </c>
      <c r="K24" s="103">
        <v>11</v>
      </c>
      <c r="L24" s="103">
        <v>12</v>
      </c>
      <c r="M24" s="103">
        <v>13</v>
      </c>
      <c r="N24" s="103">
        <v>14</v>
      </c>
      <c r="O24" s="103">
        <v>15</v>
      </c>
      <c r="P24" s="103">
        <v>16</v>
      </c>
      <c r="Q24" s="103">
        <v>19</v>
      </c>
      <c r="R24" s="103">
        <v>20</v>
      </c>
      <c r="S24" s="103">
        <v>21</v>
      </c>
      <c r="T24" s="103">
        <v>22</v>
      </c>
      <c r="U24" s="103">
        <v>23</v>
      </c>
      <c r="V24" s="103">
        <v>24</v>
      </c>
      <c r="W24" s="103">
        <v>25</v>
      </c>
      <c r="X24" s="103">
        <v>26</v>
      </c>
      <c r="Y24" s="103">
        <v>27</v>
      </c>
      <c r="Z24" s="103">
        <v>28</v>
      </c>
      <c r="AA24" s="103">
        <v>29</v>
      </c>
    </row>
    <row r="25" spans="1:27" s="39" customFormat="1" ht="24" customHeight="1" x14ac:dyDescent="0.25">
      <c r="A25" s="104" t="s">
        <v>300</v>
      </c>
      <c r="B25" s="104" t="s">
        <v>300</v>
      </c>
      <c r="C25" s="104" t="s">
        <v>300</v>
      </c>
      <c r="D25" s="104" t="s">
        <v>300</v>
      </c>
      <c r="E25" s="104" t="s">
        <v>300</v>
      </c>
      <c r="F25" s="104" t="s">
        <v>300</v>
      </c>
      <c r="G25" s="104" t="s">
        <v>300</v>
      </c>
      <c r="H25" s="104" t="s">
        <v>300</v>
      </c>
      <c r="I25" s="104" t="s">
        <v>300</v>
      </c>
      <c r="J25" s="104" t="s">
        <v>300</v>
      </c>
      <c r="K25" s="104" t="s">
        <v>300</v>
      </c>
      <c r="L25" s="104" t="s">
        <v>300</v>
      </c>
      <c r="M25" s="104" t="s">
        <v>300</v>
      </c>
      <c r="N25" s="104" t="s">
        <v>300</v>
      </c>
      <c r="O25" s="104" t="s">
        <v>300</v>
      </c>
      <c r="P25" s="104" t="s">
        <v>300</v>
      </c>
      <c r="Q25" s="104" t="s">
        <v>300</v>
      </c>
      <c r="R25" s="104" t="s">
        <v>300</v>
      </c>
      <c r="S25" s="104" t="s">
        <v>300</v>
      </c>
      <c r="T25" s="104" t="s">
        <v>300</v>
      </c>
      <c r="U25" s="104" t="s">
        <v>300</v>
      </c>
      <c r="V25" s="104" t="s">
        <v>300</v>
      </c>
      <c r="W25" s="104" t="s">
        <v>300</v>
      </c>
      <c r="X25" s="104" t="s">
        <v>300</v>
      </c>
      <c r="Y25" s="104" t="s">
        <v>300</v>
      </c>
      <c r="Z25" s="104" t="s">
        <v>300</v>
      </c>
      <c r="AA25" s="104" t="s">
        <v>300</v>
      </c>
    </row>
    <row r="26" spans="1:27" ht="21.75" customHeight="1" x14ac:dyDescent="0.25"/>
    <row r="27" spans="1:27" s="106" customFormat="1" ht="12.75" x14ac:dyDescent="0.2">
      <c r="A27" s="105"/>
      <c r="B27" s="105"/>
      <c r="C27" s="105"/>
      <c r="E27" s="105"/>
      <c r="X27" s="107"/>
      <c r="Y27" s="107"/>
      <c r="Z27" s="107"/>
      <c r="AA27" s="107"/>
    </row>
    <row r="28" spans="1:27" s="106" customFormat="1" ht="12.75" x14ac:dyDescent="0.2">
      <c r="A28" s="105"/>
      <c r="B28" s="105"/>
      <c r="C28" s="105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4" zoomScale="60" zoomScaleNormal="100" workbookViewId="0">
      <selection activeCell="C28" sqref="C28:C30"/>
    </sheetView>
  </sheetViews>
  <sheetFormatPr defaultColWidth="9.140625" defaultRowHeight="15" x14ac:dyDescent="0.25"/>
  <cols>
    <col min="1" max="1" width="6.140625" style="52" customWidth="1"/>
    <col min="2" max="2" width="69.7109375" style="52" customWidth="1"/>
    <col min="3" max="3" width="156.5703125" style="52" customWidth="1"/>
    <col min="4" max="16384" width="9.140625" style="52"/>
  </cols>
  <sheetData>
    <row r="1" spans="1:3" s="2" customFormat="1" ht="18.75" customHeight="1" x14ac:dyDescent="0.2">
      <c r="A1" s="21"/>
      <c r="C1" s="22" t="s">
        <v>57</v>
      </c>
    </row>
    <row r="2" spans="1:3" s="2" customFormat="1" ht="18.75" customHeight="1" x14ac:dyDescent="0.3">
      <c r="A2" s="21"/>
      <c r="C2" s="23" t="s">
        <v>6</v>
      </c>
    </row>
    <row r="3" spans="1:3" s="2" customFormat="1" ht="18.75" customHeight="1" x14ac:dyDescent="0.3">
      <c r="A3" s="24"/>
      <c r="C3" s="23" t="s">
        <v>56</v>
      </c>
    </row>
    <row r="4" spans="1:3" s="2" customFormat="1" ht="18.75" customHeight="1" x14ac:dyDescent="0.3">
      <c r="A4" s="24"/>
      <c r="C4" s="23"/>
    </row>
    <row r="5" spans="1:3" s="2" customFormat="1" ht="15.75" x14ac:dyDescent="0.2">
      <c r="A5" s="207" t="str">
        <f>'1. паспорт местоположение'!A5:C5</f>
        <v>Год раскрытия информации: 2024 год</v>
      </c>
      <c r="B5" s="207"/>
      <c r="C5" s="207"/>
    </row>
    <row r="6" spans="1:3" s="2" customFormat="1" ht="7.5" customHeight="1" x14ac:dyDescent="0.2">
      <c r="A6" s="24"/>
    </row>
    <row r="7" spans="1:3" s="2" customFormat="1" ht="18.75" x14ac:dyDescent="0.2">
      <c r="A7" s="211" t="s">
        <v>5</v>
      </c>
      <c r="B7" s="211"/>
      <c r="C7" s="211"/>
    </row>
    <row r="8" spans="1:3" s="2" customFormat="1" ht="9.75" customHeight="1" x14ac:dyDescent="0.2">
      <c r="A8" s="211"/>
      <c r="B8" s="211"/>
      <c r="C8" s="211"/>
    </row>
    <row r="9" spans="1:3" s="2" customFormat="1" ht="15.75" x14ac:dyDescent="0.2">
      <c r="A9" s="212" t="str">
        <f>'1. паспорт местоположение'!A9:C9</f>
        <v>АО "Чеченэнерго"</v>
      </c>
      <c r="B9" s="212"/>
      <c r="C9" s="212"/>
    </row>
    <row r="10" spans="1:3" s="2" customFormat="1" ht="15.75" x14ac:dyDescent="0.2">
      <c r="A10" s="213" t="s">
        <v>4</v>
      </c>
      <c r="B10" s="213"/>
      <c r="C10" s="213"/>
    </row>
    <row r="11" spans="1:3" s="2" customFormat="1" ht="10.5" customHeight="1" x14ac:dyDescent="0.2">
      <c r="A11" s="240"/>
      <c r="B11" s="240"/>
      <c r="C11" s="240"/>
    </row>
    <row r="12" spans="1:3" s="2" customFormat="1" ht="15.75" x14ac:dyDescent="0.2">
      <c r="A12" s="212" t="str">
        <f>'1. паспорт местоположение'!A12:C12</f>
        <v>O_Che479_24</v>
      </c>
      <c r="B12" s="212"/>
      <c r="C12" s="212"/>
    </row>
    <row r="13" spans="1:3" s="2" customFormat="1" ht="15.75" x14ac:dyDescent="0.2">
      <c r="A13" s="213" t="s">
        <v>3</v>
      </c>
      <c r="B13" s="213"/>
      <c r="C13" s="213"/>
    </row>
    <row r="14" spans="1:3" s="36" customFormat="1" ht="15.75" customHeight="1" x14ac:dyDescent="0.2">
      <c r="A14" s="215"/>
      <c r="B14" s="215"/>
      <c r="C14" s="215"/>
    </row>
    <row r="15" spans="1:3" s="37" customFormat="1" ht="44.25" customHeight="1" x14ac:dyDescent="0.2">
      <c r="A15" s="214" t="str">
        <f>'1. паспорт местоположение'!A15:C15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</row>
    <row r="16" spans="1:3" s="37" customFormat="1" ht="15" customHeight="1" x14ac:dyDescent="0.2">
      <c r="A16" s="213" t="s">
        <v>2</v>
      </c>
      <c r="B16" s="213"/>
      <c r="C16" s="213"/>
    </row>
    <row r="17" spans="1:3" s="37" customFormat="1" ht="9" customHeight="1" x14ac:dyDescent="0.2">
      <c r="A17" s="217"/>
      <c r="B17" s="217"/>
      <c r="C17" s="217"/>
    </row>
    <row r="18" spans="1:3" s="37" customFormat="1" ht="27.75" customHeight="1" x14ac:dyDescent="0.2">
      <c r="A18" s="239" t="s">
        <v>271</v>
      </c>
      <c r="B18" s="239"/>
      <c r="C18" s="239"/>
    </row>
    <row r="19" spans="1:3" s="37" customFormat="1" ht="9" customHeight="1" x14ac:dyDescent="0.2">
      <c r="A19" s="64"/>
      <c r="B19" s="64"/>
      <c r="C19" s="64"/>
    </row>
    <row r="20" spans="1:3" s="37" customFormat="1" ht="24.75" customHeight="1" x14ac:dyDescent="0.2">
      <c r="A20" s="101" t="s">
        <v>1</v>
      </c>
      <c r="B20" s="93" t="s">
        <v>55</v>
      </c>
      <c r="C20" s="92" t="s">
        <v>54</v>
      </c>
    </row>
    <row r="21" spans="1:3" s="37" customFormat="1" ht="16.5" customHeight="1" x14ac:dyDescent="0.2">
      <c r="A21" s="92">
        <v>1</v>
      </c>
      <c r="B21" s="93">
        <v>2</v>
      </c>
      <c r="C21" s="92">
        <v>3</v>
      </c>
    </row>
    <row r="22" spans="1:3" s="37" customFormat="1" ht="60" customHeight="1" x14ac:dyDescent="0.2">
      <c r="A22" s="3" t="s">
        <v>53</v>
      </c>
      <c r="B22" s="5" t="s">
        <v>275</v>
      </c>
      <c r="C22" s="185" t="s">
        <v>485</v>
      </c>
    </row>
    <row r="23" spans="1:3" ht="63" customHeight="1" x14ac:dyDescent="0.25">
      <c r="A23" s="3" t="s">
        <v>52</v>
      </c>
      <c r="B23" s="102" t="s">
        <v>49</v>
      </c>
      <c r="C23" s="185" t="s">
        <v>486</v>
      </c>
    </row>
    <row r="24" spans="1:3" ht="76.5" customHeight="1" x14ac:dyDescent="0.25">
      <c r="A24" s="3" t="s">
        <v>51</v>
      </c>
      <c r="B24" s="102" t="s">
        <v>281</v>
      </c>
      <c r="C24" s="101" t="s">
        <v>487</v>
      </c>
    </row>
    <row r="25" spans="1:3" ht="38.25" customHeight="1" x14ac:dyDescent="0.25">
      <c r="A25" s="3" t="s">
        <v>50</v>
      </c>
      <c r="B25" s="102" t="s">
        <v>282</v>
      </c>
      <c r="C25" s="4"/>
    </row>
    <row r="26" spans="1:3" ht="33" customHeight="1" x14ac:dyDescent="0.25">
      <c r="A26" s="3" t="s">
        <v>48</v>
      </c>
      <c r="B26" s="102" t="s">
        <v>166</v>
      </c>
      <c r="C26" s="101" t="s">
        <v>450</v>
      </c>
    </row>
    <row r="27" spans="1:3" ht="15.75" x14ac:dyDescent="0.25">
      <c r="A27" s="3" t="s">
        <v>47</v>
      </c>
      <c r="B27" s="102" t="s">
        <v>276</v>
      </c>
      <c r="C27" s="186" t="s">
        <v>488</v>
      </c>
    </row>
    <row r="28" spans="1:3" ht="27.75" customHeight="1" x14ac:dyDescent="0.25">
      <c r="A28" s="3" t="s">
        <v>45</v>
      </c>
      <c r="B28" s="102" t="s">
        <v>46</v>
      </c>
      <c r="C28" s="187">
        <v>2024</v>
      </c>
    </row>
    <row r="29" spans="1:3" ht="22.5" customHeight="1" x14ac:dyDescent="0.25">
      <c r="A29" s="3" t="s">
        <v>43</v>
      </c>
      <c r="B29" s="101" t="s">
        <v>44</v>
      </c>
      <c r="C29" s="187">
        <v>2025</v>
      </c>
    </row>
    <row r="30" spans="1:3" ht="24.75" customHeight="1" x14ac:dyDescent="0.25">
      <c r="A30" s="3" t="s">
        <v>61</v>
      </c>
      <c r="B30" s="101" t="s">
        <v>42</v>
      </c>
      <c r="C30" s="188" t="s">
        <v>473</v>
      </c>
    </row>
    <row r="31" spans="1:3" x14ac:dyDescent="0.25">
      <c r="A31" s="51"/>
      <c r="B31" s="51"/>
      <c r="C31" s="51"/>
    </row>
    <row r="32" spans="1:3" x14ac:dyDescent="0.25">
      <c r="A32" s="51"/>
      <c r="B32" s="51"/>
      <c r="C32" s="51"/>
    </row>
    <row r="33" spans="1:3" x14ac:dyDescent="0.25">
      <c r="A33" s="51"/>
      <c r="B33" s="51"/>
      <c r="C33" s="51"/>
    </row>
    <row r="34" spans="1:3" x14ac:dyDescent="0.25">
      <c r="A34" s="51"/>
      <c r="B34" s="51"/>
      <c r="C34" s="51"/>
    </row>
    <row r="35" spans="1:3" x14ac:dyDescent="0.25">
      <c r="A35" s="51"/>
      <c r="B35" s="51"/>
      <c r="C35" s="51"/>
    </row>
    <row r="36" spans="1:3" x14ac:dyDescent="0.25">
      <c r="A36" s="51"/>
      <c r="B36" s="51"/>
      <c r="C36" s="51"/>
    </row>
    <row r="37" spans="1:3" x14ac:dyDescent="0.25">
      <c r="A37" s="51"/>
      <c r="B37" s="51"/>
      <c r="C37" s="51"/>
    </row>
    <row r="38" spans="1:3" x14ac:dyDescent="0.25">
      <c r="A38" s="51"/>
      <c r="B38" s="51"/>
      <c r="C38" s="51"/>
    </row>
    <row r="39" spans="1:3" x14ac:dyDescent="0.25">
      <c r="A39" s="51"/>
      <c r="B39" s="51"/>
      <c r="C39" s="51"/>
    </row>
    <row r="40" spans="1:3" x14ac:dyDescent="0.25">
      <c r="A40" s="51"/>
      <c r="B40" s="51"/>
      <c r="C40" s="51"/>
    </row>
    <row r="41" spans="1:3" x14ac:dyDescent="0.25">
      <c r="A41" s="51"/>
      <c r="B41" s="51"/>
      <c r="C41" s="51"/>
    </row>
    <row r="42" spans="1:3" x14ac:dyDescent="0.25">
      <c r="A42" s="51"/>
      <c r="B42" s="51"/>
      <c r="C42" s="51"/>
    </row>
    <row r="43" spans="1:3" x14ac:dyDescent="0.25">
      <c r="A43" s="51"/>
      <c r="B43" s="51"/>
      <c r="C43" s="51"/>
    </row>
    <row r="44" spans="1:3" x14ac:dyDescent="0.25">
      <c r="A44" s="51"/>
      <c r="B44" s="51"/>
      <c r="C44" s="51"/>
    </row>
    <row r="45" spans="1:3" x14ac:dyDescent="0.25">
      <c r="A45" s="51"/>
      <c r="B45" s="51"/>
      <c r="C45" s="51"/>
    </row>
    <row r="46" spans="1:3" x14ac:dyDescent="0.25">
      <c r="A46" s="51"/>
      <c r="B46" s="51"/>
      <c r="C46" s="51"/>
    </row>
    <row r="47" spans="1:3" x14ac:dyDescent="0.25">
      <c r="A47" s="51"/>
      <c r="B47" s="51"/>
      <c r="C47" s="51"/>
    </row>
    <row r="48" spans="1:3" x14ac:dyDescent="0.25">
      <c r="A48" s="51"/>
      <c r="B48" s="51"/>
      <c r="C48" s="51"/>
    </row>
    <row r="49" spans="1:3" x14ac:dyDescent="0.25">
      <c r="A49" s="51"/>
      <c r="B49" s="51"/>
      <c r="C49" s="51"/>
    </row>
    <row r="50" spans="1:3" x14ac:dyDescent="0.25">
      <c r="A50" s="51"/>
      <c r="B50" s="51"/>
      <c r="C50" s="51"/>
    </row>
    <row r="51" spans="1:3" x14ac:dyDescent="0.25">
      <c r="A51" s="51"/>
      <c r="B51" s="51"/>
      <c r="C51" s="51"/>
    </row>
    <row r="52" spans="1:3" x14ac:dyDescent="0.25">
      <c r="A52" s="51"/>
      <c r="B52" s="51"/>
      <c r="C52" s="51"/>
    </row>
    <row r="53" spans="1:3" x14ac:dyDescent="0.25">
      <c r="A53" s="51"/>
      <c r="B53" s="51"/>
      <c r="C53" s="51"/>
    </row>
    <row r="54" spans="1:3" x14ac:dyDescent="0.25">
      <c r="A54" s="51"/>
      <c r="B54" s="51"/>
      <c r="C54" s="51"/>
    </row>
    <row r="55" spans="1:3" x14ac:dyDescent="0.25">
      <c r="A55" s="51"/>
      <c r="B55" s="51"/>
      <c r="C55" s="51"/>
    </row>
    <row r="56" spans="1:3" x14ac:dyDescent="0.25">
      <c r="A56" s="51"/>
      <c r="B56" s="51"/>
      <c r="C56" s="51"/>
    </row>
    <row r="57" spans="1:3" x14ac:dyDescent="0.25">
      <c r="A57" s="51"/>
      <c r="B57" s="51"/>
      <c r="C57" s="51"/>
    </row>
    <row r="58" spans="1:3" x14ac:dyDescent="0.25">
      <c r="A58" s="51"/>
      <c r="B58" s="51"/>
      <c r="C58" s="51"/>
    </row>
    <row r="59" spans="1:3" x14ac:dyDescent="0.25">
      <c r="A59" s="51"/>
      <c r="B59" s="51"/>
      <c r="C59" s="51"/>
    </row>
    <row r="60" spans="1:3" x14ac:dyDescent="0.25">
      <c r="A60" s="51"/>
      <c r="B60" s="51"/>
      <c r="C60" s="51"/>
    </row>
    <row r="61" spans="1:3" x14ac:dyDescent="0.25">
      <c r="A61" s="51"/>
      <c r="B61" s="51"/>
      <c r="C61" s="51"/>
    </row>
    <row r="62" spans="1:3" x14ac:dyDescent="0.25">
      <c r="A62" s="51"/>
      <c r="B62" s="51"/>
      <c r="C62" s="51"/>
    </row>
    <row r="63" spans="1:3" x14ac:dyDescent="0.25">
      <c r="A63" s="51"/>
      <c r="B63" s="51"/>
      <c r="C63" s="51"/>
    </row>
    <row r="64" spans="1:3" x14ac:dyDescent="0.25">
      <c r="A64" s="51"/>
      <c r="B64" s="51"/>
      <c r="C64" s="51"/>
    </row>
    <row r="65" spans="1:3" x14ac:dyDescent="0.25">
      <c r="A65" s="51"/>
      <c r="B65" s="51"/>
      <c r="C65" s="51"/>
    </row>
    <row r="66" spans="1:3" x14ac:dyDescent="0.25">
      <c r="A66" s="51"/>
      <c r="B66" s="51"/>
      <c r="C66" s="51"/>
    </row>
    <row r="67" spans="1:3" x14ac:dyDescent="0.25">
      <c r="A67" s="51"/>
      <c r="B67" s="51"/>
      <c r="C67" s="51"/>
    </row>
    <row r="68" spans="1:3" x14ac:dyDescent="0.25">
      <c r="A68" s="51"/>
      <c r="B68" s="51"/>
      <c r="C68" s="51"/>
    </row>
    <row r="69" spans="1:3" x14ac:dyDescent="0.25">
      <c r="A69" s="51"/>
      <c r="B69" s="51"/>
      <c r="C69" s="51"/>
    </row>
    <row r="70" spans="1:3" x14ac:dyDescent="0.25">
      <c r="A70" s="51"/>
      <c r="B70" s="51"/>
      <c r="C70" s="51"/>
    </row>
    <row r="71" spans="1:3" x14ac:dyDescent="0.25">
      <c r="A71" s="51"/>
      <c r="B71" s="51"/>
      <c r="C71" s="51"/>
    </row>
    <row r="72" spans="1:3" x14ac:dyDescent="0.25">
      <c r="A72" s="51"/>
      <c r="B72" s="51"/>
      <c r="C72" s="51"/>
    </row>
    <row r="73" spans="1:3" x14ac:dyDescent="0.25">
      <c r="A73" s="51"/>
      <c r="B73" s="51"/>
      <c r="C73" s="51"/>
    </row>
    <row r="74" spans="1:3" x14ac:dyDescent="0.25">
      <c r="A74" s="51"/>
      <c r="B74" s="51"/>
      <c r="C74" s="51"/>
    </row>
    <row r="75" spans="1:3" x14ac:dyDescent="0.25">
      <c r="A75" s="51"/>
      <c r="B75" s="51"/>
      <c r="C75" s="51"/>
    </row>
    <row r="76" spans="1:3" x14ac:dyDescent="0.25">
      <c r="A76" s="51"/>
      <c r="B76" s="51"/>
      <c r="C76" s="51"/>
    </row>
    <row r="77" spans="1:3" x14ac:dyDescent="0.25">
      <c r="A77" s="51"/>
      <c r="B77" s="51"/>
      <c r="C77" s="51"/>
    </row>
    <row r="78" spans="1:3" x14ac:dyDescent="0.25">
      <c r="A78" s="51"/>
      <c r="B78" s="51"/>
      <c r="C78" s="51"/>
    </row>
    <row r="79" spans="1:3" x14ac:dyDescent="0.25">
      <c r="A79" s="51"/>
      <c r="B79" s="51"/>
      <c r="C79" s="51"/>
    </row>
    <row r="80" spans="1:3" x14ac:dyDescent="0.25">
      <c r="A80" s="51"/>
      <c r="B80" s="51"/>
      <c r="C80" s="51"/>
    </row>
    <row r="81" spans="1:3" x14ac:dyDescent="0.25">
      <c r="A81" s="51"/>
      <c r="B81" s="51"/>
      <c r="C81" s="51"/>
    </row>
    <row r="82" spans="1:3" x14ac:dyDescent="0.25">
      <c r="A82" s="51"/>
      <c r="B82" s="51"/>
      <c r="C82" s="51"/>
    </row>
    <row r="83" spans="1:3" x14ac:dyDescent="0.25">
      <c r="A83" s="51"/>
      <c r="B83" s="51"/>
      <c r="C83" s="51"/>
    </row>
    <row r="84" spans="1:3" x14ac:dyDescent="0.25">
      <c r="A84" s="51"/>
      <c r="B84" s="51"/>
      <c r="C84" s="51"/>
    </row>
    <row r="85" spans="1:3" x14ac:dyDescent="0.25">
      <c r="A85" s="51"/>
      <c r="B85" s="51"/>
      <c r="C85" s="51"/>
    </row>
    <row r="86" spans="1:3" x14ac:dyDescent="0.25">
      <c r="A86" s="51"/>
      <c r="B86" s="51"/>
      <c r="C86" s="51"/>
    </row>
    <row r="87" spans="1:3" x14ac:dyDescent="0.25">
      <c r="A87" s="51"/>
      <c r="B87" s="51"/>
      <c r="C87" s="51"/>
    </row>
    <row r="88" spans="1:3" x14ac:dyDescent="0.25">
      <c r="A88" s="51"/>
      <c r="B88" s="51"/>
      <c r="C88" s="51"/>
    </row>
    <row r="89" spans="1:3" x14ac:dyDescent="0.25">
      <c r="A89" s="51"/>
      <c r="B89" s="51"/>
      <c r="C89" s="51"/>
    </row>
    <row r="90" spans="1:3" x14ac:dyDescent="0.25">
      <c r="A90" s="51"/>
      <c r="B90" s="51"/>
      <c r="C90" s="51"/>
    </row>
    <row r="91" spans="1:3" x14ac:dyDescent="0.25">
      <c r="A91" s="51"/>
      <c r="B91" s="51"/>
      <c r="C91" s="51"/>
    </row>
    <row r="92" spans="1:3" x14ac:dyDescent="0.25">
      <c r="A92" s="51"/>
      <c r="B92" s="51"/>
      <c r="C92" s="51"/>
    </row>
    <row r="93" spans="1:3" x14ac:dyDescent="0.25">
      <c r="A93" s="51"/>
      <c r="B93" s="51"/>
      <c r="C93" s="51"/>
    </row>
    <row r="94" spans="1:3" x14ac:dyDescent="0.25">
      <c r="A94" s="51"/>
      <c r="B94" s="51"/>
      <c r="C94" s="51"/>
    </row>
    <row r="95" spans="1:3" x14ac:dyDescent="0.25">
      <c r="A95" s="51"/>
      <c r="B95" s="51"/>
      <c r="C95" s="51"/>
    </row>
    <row r="96" spans="1:3" x14ac:dyDescent="0.25">
      <c r="A96" s="51"/>
      <c r="B96" s="51"/>
      <c r="C96" s="51"/>
    </row>
    <row r="97" spans="1:3" x14ac:dyDescent="0.25">
      <c r="A97" s="51"/>
      <c r="B97" s="51"/>
      <c r="C97" s="51"/>
    </row>
    <row r="98" spans="1:3" x14ac:dyDescent="0.25">
      <c r="A98" s="51"/>
      <c r="B98" s="51"/>
      <c r="C98" s="51"/>
    </row>
    <row r="99" spans="1:3" x14ac:dyDescent="0.25">
      <c r="A99" s="51"/>
      <c r="B99" s="51"/>
      <c r="C99" s="51"/>
    </row>
    <row r="100" spans="1:3" x14ac:dyDescent="0.25">
      <c r="A100" s="51"/>
      <c r="B100" s="51"/>
      <c r="C100" s="51"/>
    </row>
    <row r="101" spans="1:3" x14ac:dyDescent="0.25">
      <c r="A101" s="51"/>
      <c r="B101" s="51"/>
      <c r="C101" s="51"/>
    </row>
    <row r="102" spans="1:3" x14ac:dyDescent="0.25">
      <c r="A102" s="51"/>
      <c r="B102" s="51"/>
      <c r="C102" s="51"/>
    </row>
    <row r="103" spans="1:3" x14ac:dyDescent="0.25">
      <c r="A103" s="51"/>
      <c r="B103" s="51"/>
      <c r="C103" s="51"/>
    </row>
    <row r="104" spans="1:3" x14ac:dyDescent="0.25">
      <c r="A104" s="51"/>
      <c r="B104" s="51"/>
      <c r="C104" s="51"/>
    </row>
    <row r="105" spans="1:3" x14ac:dyDescent="0.25">
      <c r="A105" s="51"/>
      <c r="B105" s="51"/>
      <c r="C105" s="51"/>
    </row>
    <row r="106" spans="1:3" x14ac:dyDescent="0.25">
      <c r="A106" s="51"/>
      <c r="B106" s="51"/>
      <c r="C106" s="51"/>
    </row>
    <row r="107" spans="1:3" x14ac:dyDescent="0.25">
      <c r="A107" s="51"/>
      <c r="B107" s="51"/>
      <c r="C107" s="51"/>
    </row>
    <row r="108" spans="1:3" x14ac:dyDescent="0.25">
      <c r="A108" s="51"/>
      <c r="B108" s="51"/>
      <c r="C108" s="51"/>
    </row>
    <row r="109" spans="1:3" x14ac:dyDescent="0.25">
      <c r="A109" s="51"/>
      <c r="B109" s="51"/>
      <c r="C109" s="51"/>
    </row>
    <row r="110" spans="1:3" x14ac:dyDescent="0.25">
      <c r="A110" s="51"/>
      <c r="B110" s="51"/>
      <c r="C110" s="51"/>
    </row>
    <row r="111" spans="1:3" x14ac:dyDescent="0.25">
      <c r="A111" s="51"/>
      <c r="B111" s="51"/>
      <c r="C111" s="51"/>
    </row>
    <row r="112" spans="1:3" x14ac:dyDescent="0.25">
      <c r="A112" s="51"/>
      <c r="B112" s="51"/>
      <c r="C112" s="51"/>
    </row>
    <row r="113" spans="1:3" x14ac:dyDescent="0.25">
      <c r="A113" s="51"/>
      <c r="B113" s="51"/>
      <c r="C113" s="51"/>
    </row>
    <row r="114" spans="1:3" x14ac:dyDescent="0.25">
      <c r="A114" s="51"/>
      <c r="B114" s="51"/>
      <c r="C114" s="51"/>
    </row>
    <row r="115" spans="1:3" x14ac:dyDescent="0.25">
      <c r="A115" s="51"/>
      <c r="B115" s="51"/>
      <c r="C115" s="51"/>
    </row>
    <row r="116" spans="1:3" x14ac:dyDescent="0.25">
      <c r="A116" s="51"/>
      <c r="B116" s="51"/>
      <c r="C116" s="51"/>
    </row>
    <row r="117" spans="1:3" x14ac:dyDescent="0.25">
      <c r="A117" s="51"/>
      <c r="B117" s="51"/>
      <c r="C117" s="51"/>
    </row>
    <row r="118" spans="1:3" x14ac:dyDescent="0.25">
      <c r="A118" s="51"/>
      <c r="B118" s="51"/>
      <c r="C118" s="51"/>
    </row>
    <row r="119" spans="1:3" x14ac:dyDescent="0.25">
      <c r="A119" s="51"/>
      <c r="B119" s="51"/>
      <c r="C119" s="51"/>
    </row>
    <row r="120" spans="1:3" x14ac:dyDescent="0.25">
      <c r="A120" s="51"/>
      <c r="B120" s="51"/>
      <c r="C120" s="51"/>
    </row>
    <row r="121" spans="1:3" x14ac:dyDescent="0.25">
      <c r="A121" s="51"/>
      <c r="B121" s="51"/>
      <c r="C121" s="51"/>
    </row>
    <row r="122" spans="1:3" x14ac:dyDescent="0.25">
      <c r="A122" s="51"/>
      <c r="B122" s="51"/>
      <c r="C122" s="51"/>
    </row>
    <row r="123" spans="1:3" x14ac:dyDescent="0.25">
      <c r="A123" s="51"/>
      <c r="B123" s="51"/>
      <c r="C123" s="51"/>
    </row>
    <row r="124" spans="1:3" x14ac:dyDescent="0.25">
      <c r="A124" s="51"/>
      <c r="B124" s="51"/>
      <c r="C124" s="51"/>
    </row>
    <row r="125" spans="1:3" x14ac:dyDescent="0.25">
      <c r="A125" s="51"/>
      <c r="B125" s="51"/>
      <c r="C125" s="51"/>
    </row>
    <row r="126" spans="1:3" x14ac:dyDescent="0.25">
      <c r="A126" s="51"/>
      <c r="B126" s="51"/>
      <c r="C126" s="51"/>
    </row>
    <row r="127" spans="1:3" x14ac:dyDescent="0.25">
      <c r="A127" s="51"/>
      <c r="B127" s="51"/>
      <c r="C127" s="51"/>
    </row>
    <row r="128" spans="1:3" x14ac:dyDescent="0.25">
      <c r="A128" s="51"/>
      <c r="B128" s="51"/>
      <c r="C128" s="51"/>
    </row>
    <row r="129" spans="1:3" x14ac:dyDescent="0.25">
      <c r="A129" s="51"/>
      <c r="B129" s="51"/>
      <c r="C129" s="51"/>
    </row>
    <row r="130" spans="1:3" x14ac:dyDescent="0.25">
      <c r="A130" s="51"/>
      <c r="B130" s="51"/>
      <c r="C130" s="51"/>
    </row>
    <row r="131" spans="1:3" x14ac:dyDescent="0.25">
      <c r="A131" s="51"/>
      <c r="B131" s="51"/>
      <c r="C131" s="51"/>
    </row>
    <row r="132" spans="1:3" x14ac:dyDescent="0.25">
      <c r="A132" s="51"/>
      <c r="B132" s="51"/>
      <c r="C132" s="51"/>
    </row>
    <row r="133" spans="1:3" x14ac:dyDescent="0.25">
      <c r="A133" s="51"/>
      <c r="B133" s="51"/>
      <c r="C133" s="51"/>
    </row>
    <row r="134" spans="1:3" x14ac:dyDescent="0.25">
      <c r="A134" s="51"/>
      <c r="B134" s="51"/>
      <c r="C134" s="51"/>
    </row>
    <row r="135" spans="1:3" x14ac:dyDescent="0.25">
      <c r="A135" s="51"/>
      <c r="B135" s="51"/>
      <c r="C135" s="51"/>
    </row>
    <row r="136" spans="1:3" x14ac:dyDescent="0.25">
      <c r="A136" s="51"/>
      <c r="B136" s="51"/>
      <c r="C136" s="51"/>
    </row>
    <row r="137" spans="1:3" x14ac:dyDescent="0.25">
      <c r="A137" s="51"/>
      <c r="B137" s="51"/>
      <c r="C137" s="51"/>
    </row>
    <row r="138" spans="1:3" x14ac:dyDescent="0.25">
      <c r="A138" s="51"/>
      <c r="B138" s="51"/>
      <c r="C138" s="51"/>
    </row>
    <row r="139" spans="1:3" x14ac:dyDescent="0.25">
      <c r="A139" s="51"/>
      <c r="B139" s="51"/>
      <c r="C139" s="51"/>
    </row>
    <row r="140" spans="1:3" x14ac:dyDescent="0.25">
      <c r="A140" s="51"/>
      <c r="B140" s="51"/>
      <c r="C140" s="51"/>
    </row>
    <row r="141" spans="1:3" x14ac:dyDescent="0.25">
      <c r="A141" s="51"/>
      <c r="B141" s="51"/>
      <c r="C141" s="51"/>
    </row>
    <row r="142" spans="1:3" x14ac:dyDescent="0.25">
      <c r="A142" s="51"/>
      <c r="B142" s="51"/>
      <c r="C142" s="51"/>
    </row>
    <row r="143" spans="1:3" x14ac:dyDescent="0.25">
      <c r="A143" s="51"/>
      <c r="B143" s="51"/>
      <c r="C143" s="51"/>
    </row>
    <row r="144" spans="1:3" x14ac:dyDescent="0.25">
      <c r="A144" s="51"/>
      <c r="B144" s="51"/>
      <c r="C144" s="51"/>
    </row>
    <row r="145" spans="1:3" x14ac:dyDescent="0.25">
      <c r="A145" s="51"/>
      <c r="B145" s="51"/>
      <c r="C145" s="51"/>
    </row>
    <row r="146" spans="1:3" x14ac:dyDescent="0.25">
      <c r="A146" s="51"/>
      <c r="B146" s="51"/>
      <c r="C146" s="51"/>
    </row>
    <row r="147" spans="1:3" x14ac:dyDescent="0.25">
      <c r="A147" s="51"/>
      <c r="B147" s="51"/>
      <c r="C147" s="51"/>
    </row>
    <row r="148" spans="1:3" x14ac:dyDescent="0.25">
      <c r="A148" s="51"/>
      <c r="B148" s="51"/>
      <c r="C148" s="51"/>
    </row>
    <row r="149" spans="1:3" x14ac:dyDescent="0.25">
      <c r="A149" s="51"/>
      <c r="B149" s="51"/>
      <c r="C149" s="51"/>
    </row>
    <row r="150" spans="1:3" x14ac:dyDescent="0.25">
      <c r="A150" s="51"/>
      <c r="B150" s="51"/>
      <c r="C150" s="51"/>
    </row>
    <row r="151" spans="1:3" x14ac:dyDescent="0.25">
      <c r="A151" s="51"/>
      <c r="B151" s="51"/>
      <c r="C151" s="51"/>
    </row>
    <row r="152" spans="1:3" x14ac:dyDescent="0.25">
      <c r="A152" s="51"/>
      <c r="B152" s="51"/>
      <c r="C152" s="51"/>
    </row>
    <row r="153" spans="1:3" x14ac:dyDescent="0.25">
      <c r="A153" s="51"/>
      <c r="B153" s="51"/>
      <c r="C153" s="51"/>
    </row>
    <row r="154" spans="1:3" x14ac:dyDescent="0.25">
      <c r="A154" s="51"/>
      <c r="B154" s="51"/>
      <c r="C154" s="51"/>
    </row>
    <row r="155" spans="1:3" x14ac:dyDescent="0.25">
      <c r="A155" s="51"/>
      <c r="B155" s="51"/>
      <c r="C155" s="51"/>
    </row>
    <row r="156" spans="1:3" x14ac:dyDescent="0.25">
      <c r="A156" s="51"/>
      <c r="B156" s="51"/>
      <c r="C156" s="51"/>
    </row>
    <row r="157" spans="1:3" x14ac:dyDescent="0.25">
      <c r="A157" s="51"/>
      <c r="B157" s="51"/>
      <c r="C157" s="51"/>
    </row>
    <row r="158" spans="1:3" x14ac:dyDescent="0.25">
      <c r="A158" s="51"/>
      <c r="B158" s="51"/>
      <c r="C158" s="51"/>
    </row>
    <row r="159" spans="1:3" x14ac:dyDescent="0.25">
      <c r="A159" s="51"/>
      <c r="B159" s="51"/>
      <c r="C159" s="51"/>
    </row>
    <row r="160" spans="1:3" x14ac:dyDescent="0.25">
      <c r="A160" s="51"/>
      <c r="B160" s="51"/>
      <c r="C160" s="51"/>
    </row>
    <row r="161" spans="1:3" x14ac:dyDescent="0.25">
      <c r="A161" s="51"/>
      <c r="B161" s="51"/>
      <c r="C161" s="51"/>
    </row>
    <row r="162" spans="1:3" x14ac:dyDescent="0.25">
      <c r="A162" s="51"/>
      <c r="B162" s="51"/>
      <c r="C162" s="51"/>
    </row>
    <row r="163" spans="1:3" x14ac:dyDescent="0.25">
      <c r="A163" s="51"/>
      <c r="B163" s="51"/>
      <c r="C163" s="51"/>
    </row>
    <row r="164" spans="1:3" x14ac:dyDescent="0.25">
      <c r="A164" s="51"/>
      <c r="B164" s="51"/>
      <c r="C164" s="51"/>
    </row>
    <row r="165" spans="1:3" x14ac:dyDescent="0.25">
      <c r="A165" s="51"/>
      <c r="B165" s="51"/>
      <c r="C165" s="51"/>
    </row>
    <row r="166" spans="1:3" x14ac:dyDescent="0.25">
      <c r="A166" s="51"/>
      <c r="B166" s="51"/>
      <c r="C166" s="51"/>
    </row>
    <row r="167" spans="1:3" x14ac:dyDescent="0.25">
      <c r="A167" s="51"/>
      <c r="B167" s="51"/>
      <c r="C167" s="51"/>
    </row>
    <row r="168" spans="1:3" x14ac:dyDescent="0.25">
      <c r="A168" s="51"/>
      <c r="B168" s="51"/>
      <c r="C168" s="51"/>
    </row>
    <row r="169" spans="1:3" x14ac:dyDescent="0.25">
      <c r="A169" s="51"/>
      <c r="B169" s="51"/>
      <c r="C169" s="51"/>
    </row>
    <row r="170" spans="1:3" x14ac:dyDescent="0.25">
      <c r="A170" s="51"/>
      <c r="B170" s="51"/>
      <c r="C170" s="51"/>
    </row>
    <row r="171" spans="1:3" x14ac:dyDescent="0.25">
      <c r="A171" s="51"/>
      <c r="B171" s="51"/>
      <c r="C171" s="51"/>
    </row>
    <row r="172" spans="1:3" x14ac:dyDescent="0.25">
      <c r="A172" s="51"/>
      <c r="B172" s="51"/>
      <c r="C172" s="51"/>
    </row>
    <row r="173" spans="1:3" x14ac:dyDescent="0.25">
      <c r="A173" s="51"/>
      <c r="B173" s="51"/>
      <c r="C173" s="51"/>
    </row>
    <row r="174" spans="1:3" x14ac:dyDescent="0.25">
      <c r="A174" s="51"/>
      <c r="B174" s="51"/>
      <c r="C174" s="51"/>
    </row>
    <row r="175" spans="1:3" x14ac:dyDescent="0.25">
      <c r="A175" s="51"/>
      <c r="B175" s="51"/>
      <c r="C175" s="51"/>
    </row>
    <row r="176" spans="1:3" x14ac:dyDescent="0.25">
      <c r="A176" s="51"/>
      <c r="B176" s="51"/>
      <c r="C176" s="51"/>
    </row>
    <row r="177" spans="1:3" x14ac:dyDescent="0.25">
      <c r="A177" s="51"/>
      <c r="B177" s="51"/>
      <c r="C177" s="51"/>
    </row>
    <row r="178" spans="1:3" x14ac:dyDescent="0.25">
      <c r="A178" s="51"/>
      <c r="B178" s="51"/>
      <c r="C178" s="51"/>
    </row>
    <row r="179" spans="1:3" x14ac:dyDescent="0.25">
      <c r="A179" s="51"/>
      <c r="B179" s="51"/>
      <c r="C179" s="51"/>
    </row>
    <row r="180" spans="1:3" x14ac:dyDescent="0.25">
      <c r="A180" s="51"/>
      <c r="B180" s="51"/>
      <c r="C180" s="51"/>
    </row>
    <row r="181" spans="1:3" x14ac:dyDescent="0.25">
      <c r="A181" s="51"/>
      <c r="B181" s="51"/>
      <c r="C181" s="51"/>
    </row>
    <row r="182" spans="1:3" x14ac:dyDescent="0.25">
      <c r="A182" s="51"/>
      <c r="B182" s="51"/>
      <c r="C182" s="51"/>
    </row>
    <row r="183" spans="1:3" x14ac:dyDescent="0.25">
      <c r="A183" s="51"/>
      <c r="B183" s="51"/>
      <c r="C183" s="51"/>
    </row>
    <row r="184" spans="1:3" x14ac:dyDescent="0.25">
      <c r="A184" s="51"/>
      <c r="B184" s="51"/>
      <c r="C184" s="51"/>
    </row>
    <row r="185" spans="1:3" x14ac:dyDescent="0.25">
      <c r="A185" s="51"/>
      <c r="B185" s="51"/>
      <c r="C185" s="51"/>
    </row>
    <row r="186" spans="1:3" x14ac:dyDescent="0.25">
      <c r="A186" s="51"/>
      <c r="B186" s="51"/>
      <c r="C186" s="51"/>
    </row>
    <row r="187" spans="1:3" x14ac:dyDescent="0.25">
      <c r="A187" s="51"/>
      <c r="B187" s="51"/>
      <c r="C187" s="51"/>
    </row>
    <row r="188" spans="1:3" x14ac:dyDescent="0.25">
      <c r="A188" s="51"/>
      <c r="B188" s="51"/>
      <c r="C188" s="51"/>
    </row>
    <row r="189" spans="1:3" x14ac:dyDescent="0.25">
      <c r="A189" s="51"/>
      <c r="B189" s="51"/>
      <c r="C189" s="51"/>
    </row>
    <row r="190" spans="1:3" x14ac:dyDescent="0.25">
      <c r="A190" s="51"/>
      <c r="B190" s="51"/>
      <c r="C190" s="51"/>
    </row>
    <row r="191" spans="1:3" x14ac:dyDescent="0.25">
      <c r="A191" s="51"/>
      <c r="B191" s="51"/>
      <c r="C191" s="51"/>
    </row>
    <row r="192" spans="1:3" x14ac:dyDescent="0.25">
      <c r="A192" s="51"/>
      <c r="B192" s="51"/>
      <c r="C192" s="51"/>
    </row>
    <row r="193" spans="1:3" x14ac:dyDescent="0.25">
      <c r="A193" s="51"/>
      <c r="B193" s="51"/>
      <c r="C193" s="51"/>
    </row>
    <row r="194" spans="1:3" x14ac:dyDescent="0.25">
      <c r="A194" s="51"/>
      <c r="B194" s="51"/>
      <c r="C194" s="51"/>
    </row>
    <row r="195" spans="1:3" x14ac:dyDescent="0.25">
      <c r="A195" s="51"/>
      <c r="B195" s="51"/>
      <c r="C195" s="51"/>
    </row>
    <row r="196" spans="1:3" x14ac:dyDescent="0.25">
      <c r="A196" s="51"/>
      <c r="B196" s="51"/>
      <c r="C196" s="51"/>
    </row>
    <row r="197" spans="1:3" x14ac:dyDescent="0.25">
      <c r="A197" s="51"/>
      <c r="B197" s="51"/>
      <c r="C197" s="51"/>
    </row>
    <row r="198" spans="1:3" x14ac:dyDescent="0.25">
      <c r="A198" s="51"/>
      <c r="B198" s="51"/>
      <c r="C198" s="51"/>
    </row>
    <row r="199" spans="1:3" x14ac:dyDescent="0.25">
      <c r="A199" s="51"/>
      <c r="B199" s="51"/>
      <c r="C199" s="51"/>
    </row>
    <row r="200" spans="1:3" x14ac:dyDescent="0.25">
      <c r="A200" s="51"/>
      <c r="B200" s="51"/>
      <c r="C200" s="51"/>
    </row>
    <row r="201" spans="1:3" x14ac:dyDescent="0.25">
      <c r="A201" s="51"/>
      <c r="B201" s="51"/>
      <c r="C201" s="51"/>
    </row>
    <row r="202" spans="1:3" x14ac:dyDescent="0.25">
      <c r="A202" s="51"/>
      <c r="B202" s="51"/>
      <c r="C202" s="51"/>
    </row>
    <row r="203" spans="1:3" x14ac:dyDescent="0.25">
      <c r="A203" s="51"/>
      <c r="B203" s="51"/>
      <c r="C203" s="51"/>
    </row>
    <row r="204" spans="1:3" x14ac:dyDescent="0.25">
      <c r="A204" s="51"/>
      <c r="B204" s="51"/>
      <c r="C204" s="51"/>
    </row>
    <row r="205" spans="1:3" x14ac:dyDescent="0.25">
      <c r="A205" s="51"/>
      <c r="B205" s="51"/>
      <c r="C205" s="51"/>
    </row>
    <row r="206" spans="1:3" x14ac:dyDescent="0.25">
      <c r="A206" s="51"/>
      <c r="B206" s="51"/>
      <c r="C206" s="51"/>
    </row>
    <row r="207" spans="1:3" x14ac:dyDescent="0.25">
      <c r="A207" s="51"/>
      <c r="B207" s="51"/>
      <c r="C207" s="51"/>
    </row>
    <row r="208" spans="1:3" x14ac:dyDescent="0.25">
      <c r="A208" s="51"/>
      <c r="B208" s="51"/>
      <c r="C208" s="51"/>
    </row>
    <row r="209" spans="1:3" x14ac:dyDescent="0.25">
      <c r="A209" s="51"/>
      <c r="B209" s="51"/>
      <c r="C209" s="51"/>
    </row>
    <row r="210" spans="1:3" x14ac:dyDescent="0.25">
      <c r="A210" s="51"/>
      <c r="B210" s="51"/>
      <c r="C210" s="51"/>
    </row>
    <row r="211" spans="1:3" x14ac:dyDescent="0.25">
      <c r="A211" s="51"/>
      <c r="B211" s="51"/>
      <c r="C211" s="51"/>
    </row>
    <row r="212" spans="1:3" x14ac:dyDescent="0.25">
      <c r="A212" s="51"/>
      <c r="B212" s="51"/>
      <c r="C212" s="51"/>
    </row>
    <row r="213" spans="1:3" x14ac:dyDescent="0.25">
      <c r="A213" s="51"/>
      <c r="B213" s="51"/>
      <c r="C213" s="51"/>
    </row>
    <row r="214" spans="1:3" x14ac:dyDescent="0.25">
      <c r="A214" s="51"/>
      <c r="B214" s="51"/>
      <c r="C214" s="51"/>
    </row>
    <row r="215" spans="1:3" x14ac:dyDescent="0.25">
      <c r="A215" s="51"/>
      <c r="B215" s="51"/>
      <c r="C215" s="51"/>
    </row>
    <row r="216" spans="1:3" x14ac:dyDescent="0.25">
      <c r="A216" s="51"/>
      <c r="B216" s="51"/>
      <c r="C216" s="51"/>
    </row>
    <row r="217" spans="1:3" x14ac:dyDescent="0.25">
      <c r="A217" s="51"/>
      <c r="B217" s="51"/>
      <c r="C217" s="51"/>
    </row>
    <row r="218" spans="1:3" x14ac:dyDescent="0.25">
      <c r="A218" s="51"/>
      <c r="B218" s="51"/>
      <c r="C218" s="51"/>
    </row>
    <row r="219" spans="1:3" x14ac:dyDescent="0.25">
      <c r="A219" s="51"/>
      <c r="B219" s="51"/>
      <c r="C219" s="51"/>
    </row>
    <row r="220" spans="1:3" x14ac:dyDescent="0.25">
      <c r="A220" s="51"/>
      <c r="B220" s="51"/>
      <c r="C220" s="51"/>
    </row>
    <row r="221" spans="1:3" x14ac:dyDescent="0.25">
      <c r="A221" s="51"/>
      <c r="B221" s="51"/>
      <c r="C221" s="51"/>
    </row>
    <row r="222" spans="1:3" x14ac:dyDescent="0.25">
      <c r="A222" s="51"/>
      <c r="B222" s="51"/>
      <c r="C222" s="51"/>
    </row>
    <row r="223" spans="1:3" x14ac:dyDescent="0.25">
      <c r="A223" s="51"/>
      <c r="B223" s="51"/>
      <c r="C223" s="51"/>
    </row>
    <row r="224" spans="1:3" x14ac:dyDescent="0.25">
      <c r="A224" s="51"/>
      <c r="B224" s="51"/>
      <c r="C224" s="51"/>
    </row>
    <row r="225" spans="1:3" x14ac:dyDescent="0.25">
      <c r="A225" s="51"/>
      <c r="B225" s="51"/>
      <c r="C225" s="51"/>
    </row>
    <row r="226" spans="1:3" x14ac:dyDescent="0.25">
      <c r="A226" s="51"/>
      <c r="B226" s="51"/>
      <c r="C226" s="51"/>
    </row>
    <row r="227" spans="1:3" x14ac:dyDescent="0.25">
      <c r="A227" s="51"/>
      <c r="B227" s="51"/>
      <c r="C227" s="51"/>
    </row>
    <row r="228" spans="1:3" x14ac:dyDescent="0.25">
      <c r="A228" s="51"/>
      <c r="B228" s="51"/>
      <c r="C228" s="51"/>
    </row>
    <row r="229" spans="1:3" x14ac:dyDescent="0.25">
      <c r="A229" s="51"/>
      <c r="B229" s="51"/>
      <c r="C229" s="51"/>
    </row>
    <row r="230" spans="1:3" x14ac:dyDescent="0.25">
      <c r="A230" s="51"/>
      <c r="B230" s="51"/>
      <c r="C230" s="51"/>
    </row>
    <row r="231" spans="1:3" x14ac:dyDescent="0.25">
      <c r="A231" s="51"/>
      <c r="B231" s="51"/>
      <c r="C231" s="51"/>
    </row>
    <row r="232" spans="1:3" x14ac:dyDescent="0.25">
      <c r="A232" s="51"/>
      <c r="B232" s="51"/>
      <c r="C232" s="51"/>
    </row>
    <row r="233" spans="1:3" x14ac:dyDescent="0.25">
      <c r="A233" s="51"/>
      <c r="B233" s="51"/>
      <c r="C233" s="51"/>
    </row>
    <row r="234" spans="1:3" x14ac:dyDescent="0.25">
      <c r="A234" s="51"/>
      <c r="B234" s="51"/>
      <c r="C234" s="51"/>
    </row>
    <row r="235" spans="1:3" x14ac:dyDescent="0.25">
      <c r="A235" s="51"/>
      <c r="B235" s="51"/>
      <c r="C235" s="51"/>
    </row>
    <row r="236" spans="1:3" x14ac:dyDescent="0.25">
      <c r="A236" s="51"/>
      <c r="B236" s="51"/>
      <c r="C236" s="51"/>
    </row>
    <row r="237" spans="1:3" x14ac:dyDescent="0.25">
      <c r="A237" s="51"/>
      <c r="B237" s="51"/>
      <c r="C237" s="51"/>
    </row>
    <row r="238" spans="1:3" x14ac:dyDescent="0.25">
      <c r="A238" s="51"/>
      <c r="B238" s="51"/>
      <c r="C238" s="51"/>
    </row>
    <row r="239" spans="1:3" x14ac:dyDescent="0.25">
      <c r="A239" s="51"/>
      <c r="B239" s="51"/>
      <c r="C239" s="51"/>
    </row>
    <row r="240" spans="1:3" x14ac:dyDescent="0.25">
      <c r="A240" s="51"/>
      <c r="B240" s="51"/>
      <c r="C240" s="51"/>
    </row>
    <row r="241" spans="1:3" x14ac:dyDescent="0.25">
      <c r="A241" s="51"/>
      <c r="B241" s="51"/>
      <c r="C241" s="51"/>
    </row>
    <row r="242" spans="1:3" x14ac:dyDescent="0.25">
      <c r="A242" s="51"/>
      <c r="B242" s="51"/>
      <c r="C242" s="51"/>
    </row>
    <row r="243" spans="1:3" x14ac:dyDescent="0.25">
      <c r="A243" s="51"/>
      <c r="B243" s="51"/>
      <c r="C243" s="51"/>
    </row>
    <row r="244" spans="1:3" x14ac:dyDescent="0.25">
      <c r="A244" s="51"/>
      <c r="B244" s="51"/>
      <c r="C244" s="51"/>
    </row>
    <row r="245" spans="1:3" x14ac:dyDescent="0.25">
      <c r="A245" s="51"/>
      <c r="B245" s="51"/>
      <c r="C245" s="51"/>
    </row>
    <row r="246" spans="1:3" x14ac:dyDescent="0.25">
      <c r="A246" s="51"/>
      <c r="B246" s="51"/>
      <c r="C246" s="51"/>
    </row>
    <row r="247" spans="1:3" x14ac:dyDescent="0.25">
      <c r="A247" s="51"/>
      <c r="B247" s="51"/>
      <c r="C247" s="51"/>
    </row>
    <row r="248" spans="1:3" x14ac:dyDescent="0.25">
      <c r="A248" s="51"/>
      <c r="B248" s="51"/>
      <c r="C248" s="51"/>
    </row>
    <row r="249" spans="1:3" x14ac:dyDescent="0.25">
      <c r="A249" s="51"/>
      <c r="B249" s="51"/>
      <c r="C249" s="51"/>
    </row>
    <row r="250" spans="1:3" x14ac:dyDescent="0.25">
      <c r="A250" s="51"/>
      <c r="B250" s="51"/>
      <c r="C250" s="51"/>
    </row>
    <row r="251" spans="1:3" x14ac:dyDescent="0.25">
      <c r="A251" s="51"/>
      <c r="B251" s="51"/>
      <c r="C251" s="51"/>
    </row>
    <row r="252" spans="1:3" x14ac:dyDescent="0.25">
      <c r="A252" s="51"/>
      <c r="B252" s="51"/>
      <c r="C252" s="51"/>
    </row>
    <row r="253" spans="1:3" x14ac:dyDescent="0.25">
      <c r="A253" s="51"/>
      <c r="B253" s="51"/>
      <c r="C253" s="51"/>
    </row>
    <row r="254" spans="1:3" x14ac:dyDescent="0.25">
      <c r="A254" s="51"/>
      <c r="B254" s="51"/>
      <c r="C254" s="51"/>
    </row>
    <row r="255" spans="1:3" x14ac:dyDescent="0.25">
      <c r="A255" s="51"/>
      <c r="B255" s="51"/>
      <c r="C255" s="51"/>
    </row>
    <row r="256" spans="1:3" x14ac:dyDescent="0.25">
      <c r="A256" s="51"/>
      <c r="B256" s="51"/>
      <c r="C256" s="51"/>
    </row>
    <row r="257" spans="1:3" x14ac:dyDescent="0.25">
      <c r="A257" s="51"/>
      <c r="B257" s="51"/>
      <c r="C257" s="51"/>
    </row>
    <row r="258" spans="1:3" x14ac:dyDescent="0.25">
      <c r="A258" s="51"/>
      <c r="B258" s="51"/>
      <c r="C258" s="51"/>
    </row>
    <row r="259" spans="1:3" x14ac:dyDescent="0.25">
      <c r="A259" s="51"/>
      <c r="B259" s="51"/>
      <c r="C259" s="51"/>
    </row>
    <row r="260" spans="1:3" x14ac:dyDescent="0.25">
      <c r="A260" s="51"/>
      <c r="B260" s="51"/>
      <c r="C260" s="51"/>
    </row>
    <row r="261" spans="1:3" x14ac:dyDescent="0.25">
      <c r="A261" s="51"/>
      <c r="B261" s="51"/>
      <c r="C261" s="51"/>
    </row>
    <row r="262" spans="1:3" x14ac:dyDescent="0.25">
      <c r="A262" s="51"/>
      <c r="B262" s="51"/>
      <c r="C262" s="51"/>
    </row>
    <row r="263" spans="1:3" x14ac:dyDescent="0.25">
      <c r="A263" s="51"/>
      <c r="B263" s="51"/>
      <c r="C263" s="51"/>
    </row>
    <row r="264" spans="1:3" x14ac:dyDescent="0.25">
      <c r="A264" s="51"/>
      <c r="B264" s="51"/>
      <c r="C264" s="51"/>
    </row>
    <row r="265" spans="1:3" x14ac:dyDescent="0.25">
      <c r="A265" s="51"/>
      <c r="B265" s="51"/>
      <c r="C265" s="51"/>
    </row>
    <row r="266" spans="1:3" x14ac:dyDescent="0.25">
      <c r="A266" s="51"/>
      <c r="B266" s="51"/>
      <c r="C266" s="51"/>
    </row>
    <row r="267" spans="1:3" x14ac:dyDescent="0.25">
      <c r="A267" s="51"/>
      <c r="B267" s="51"/>
      <c r="C267" s="51"/>
    </row>
    <row r="268" spans="1:3" x14ac:dyDescent="0.25">
      <c r="A268" s="51"/>
      <c r="B268" s="51"/>
      <c r="C268" s="51"/>
    </row>
    <row r="269" spans="1:3" x14ac:dyDescent="0.25">
      <c r="A269" s="51"/>
      <c r="B269" s="51"/>
      <c r="C269" s="51"/>
    </row>
    <row r="270" spans="1:3" x14ac:dyDescent="0.25">
      <c r="A270" s="51"/>
      <c r="B270" s="51"/>
      <c r="C270" s="51"/>
    </row>
    <row r="271" spans="1:3" x14ac:dyDescent="0.25">
      <c r="A271" s="51"/>
      <c r="B271" s="51"/>
      <c r="C271" s="51"/>
    </row>
    <row r="272" spans="1:3" x14ac:dyDescent="0.25">
      <c r="A272" s="51"/>
      <c r="B272" s="51"/>
      <c r="C272" s="51"/>
    </row>
    <row r="273" spans="1:3" x14ac:dyDescent="0.25">
      <c r="A273" s="51"/>
      <c r="B273" s="51"/>
      <c r="C273" s="51"/>
    </row>
    <row r="274" spans="1:3" x14ac:dyDescent="0.25">
      <c r="A274" s="51"/>
      <c r="B274" s="51"/>
      <c r="C274" s="51"/>
    </row>
    <row r="275" spans="1:3" x14ac:dyDescent="0.25">
      <c r="A275" s="51"/>
      <c r="B275" s="51"/>
      <c r="C275" s="51"/>
    </row>
    <row r="276" spans="1:3" x14ac:dyDescent="0.25">
      <c r="A276" s="51"/>
      <c r="B276" s="51"/>
      <c r="C276" s="51"/>
    </row>
    <row r="277" spans="1:3" x14ac:dyDescent="0.25">
      <c r="A277" s="51"/>
      <c r="B277" s="51"/>
      <c r="C277" s="51"/>
    </row>
    <row r="278" spans="1:3" x14ac:dyDescent="0.25">
      <c r="A278" s="51"/>
      <c r="B278" s="51"/>
      <c r="C278" s="51"/>
    </row>
    <row r="279" spans="1:3" x14ac:dyDescent="0.25">
      <c r="A279" s="51"/>
      <c r="B279" s="51"/>
      <c r="C279" s="51"/>
    </row>
    <row r="280" spans="1:3" x14ac:dyDescent="0.25">
      <c r="A280" s="51"/>
      <c r="B280" s="51"/>
      <c r="C280" s="51"/>
    </row>
    <row r="281" spans="1:3" x14ac:dyDescent="0.25">
      <c r="A281" s="51"/>
      <c r="B281" s="51"/>
      <c r="C281" s="51"/>
    </row>
    <row r="282" spans="1:3" x14ac:dyDescent="0.25">
      <c r="A282" s="51"/>
      <c r="B282" s="51"/>
      <c r="C282" s="51"/>
    </row>
    <row r="283" spans="1:3" x14ac:dyDescent="0.25">
      <c r="A283" s="51"/>
      <c r="B283" s="51"/>
      <c r="C283" s="51"/>
    </row>
    <row r="284" spans="1:3" x14ac:dyDescent="0.25">
      <c r="A284" s="51"/>
      <c r="B284" s="51"/>
      <c r="C284" s="51"/>
    </row>
    <row r="285" spans="1:3" x14ac:dyDescent="0.25">
      <c r="A285" s="51"/>
      <c r="B285" s="51"/>
      <c r="C285" s="51"/>
    </row>
    <row r="286" spans="1:3" x14ac:dyDescent="0.25">
      <c r="A286" s="51"/>
      <c r="B286" s="51"/>
      <c r="C286" s="51"/>
    </row>
    <row r="287" spans="1:3" x14ac:dyDescent="0.25">
      <c r="A287" s="51"/>
      <c r="B287" s="51"/>
      <c r="C287" s="51"/>
    </row>
    <row r="288" spans="1:3" x14ac:dyDescent="0.25">
      <c r="A288" s="51"/>
      <c r="B288" s="51"/>
      <c r="C288" s="51"/>
    </row>
    <row r="289" spans="1:3" x14ac:dyDescent="0.25">
      <c r="A289" s="51"/>
      <c r="B289" s="51"/>
      <c r="C289" s="51"/>
    </row>
    <row r="290" spans="1:3" x14ac:dyDescent="0.25">
      <c r="A290" s="51"/>
      <c r="B290" s="51"/>
      <c r="C290" s="51"/>
    </row>
    <row r="291" spans="1:3" x14ac:dyDescent="0.25">
      <c r="A291" s="51"/>
      <c r="B291" s="51"/>
      <c r="C291" s="51"/>
    </row>
    <row r="292" spans="1:3" x14ac:dyDescent="0.25">
      <c r="A292" s="51"/>
      <c r="B292" s="51"/>
      <c r="C292" s="51"/>
    </row>
    <row r="293" spans="1:3" x14ac:dyDescent="0.25">
      <c r="A293" s="51"/>
      <c r="B293" s="51"/>
      <c r="C293" s="51"/>
    </row>
    <row r="294" spans="1:3" x14ac:dyDescent="0.25">
      <c r="A294" s="51"/>
      <c r="B294" s="51"/>
      <c r="C294" s="51"/>
    </row>
    <row r="295" spans="1:3" x14ac:dyDescent="0.25">
      <c r="A295" s="51"/>
      <c r="B295" s="51"/>
      <c r="C295" s="51"/>
    </row>
    <row r="296" spans="1:3" x14ac:dyDescent="0.25">
      <c r="A296" s="51"/>
      <c r="B296" s="51"/>
      <c r="C296" s="51"/>
    </row>
    <row r="297" spans="1:3" x14ac:dyDescent="0.25">
      <c r="A297" s="51"/>
      <c r="B297" s="51"/>
      <c r="C297" s="51"/>
    </row>
    <row r="298" spans="1:3" x14ac:dyDescent="0.25">
      <c r="A298" s="51"/>
      <c r="B298" s="51"/>
      <c r="C298" s="51"/>
    </row>
    <row r="299" spans="1:3" x14ac:dyDescent="0.25">
      <c r="A299" s="51"/>
      <c r="B299" s="51"/>
      <c r="C299" s="51"/>
    </row>
    <row r="300" spans="1:3" x14ac:dyDescent="0.25">
      <c r="A300" s="51"/>
      <c r="B300" s="51"/>
      <c r="C300" s="51"/>
    </row>
    <row r="301" spans="1:3" x14ac:dyDescent="0.25">
      <c r="A301" s="51"/>
      <c r="B301" s="51"/>
      <c r="C301" s="51"/>
    </row>
    <row r="302" spans="1:3" x14ac:dyDescent="0.25">
      <c r="A302" s="51"/>
      <c r="B302" s="51"/>
      <c r="C302" s="51"/>
    </row>
    <row r="303" spans="1:3" x14ac:dyDescent="0.25">
      <c r="A303" s="51"/>
      <c r="B303" s="51"/>
      <c r="C303" s="51"/>
    </row>
    <row r="304" spans="1:3" x14ac:dyDescent="0.25">
      <c r="A304" s="51"/>
      <c r="B304" s="51"/>
      <c r="C304" s="51"/>
    </row>
    <row r="305" spans="1:3" x14ac:dyDescent="0.25">
      <c r="A305" s="51"/>
      <c r="B305" s="51"/>
      <c r="C305" s="51"/>
    </row>
    <row r="306" spans="1:3" x14ac:dyDescent="0.25">
      <c r="A306" s="51"/>
      <c r="B306" s="51"/>
      <c r="C306" s="51"/>
    </row>
    <row r="307" spans="1:3" x14ac:dyDescent="0.25">
      <c r="A307" s="51"/>
      <c r="B307" s="51"/>
      <c r="C307" s="51"/>
    </row>
    <row r="308" spans="1:3" x14ac:dyDescent="0.25">
      <c r="A308" s="51"/>
      <c r="B308" s="51"/>
      <c r="C308" s="51"/>
    </row>
    <row r="309" spans="1:3" x14ac:dyDescent="0.25">
      <c r="A309" s="51"/>
      <c r="B309" s="51"/>
      <c r="C309" s="51"/>
    </row>
    <row r="310" spans="1:3" x14ac:dyDescent="0.25">
      <c r="A310" s="51"/>
      <c r="B310" s="51"/>
      <c r="C310" s="51"/>
    </row>
    <row r="311" spans="1:3" x14ac:dyDescent="0.25">
      <c r="A311" s="51"/>
      <c r="B311" s="51"/>
      <c r="C311" s="51"/>
    </row>
    <row r="312" spans="1:3" x14ac:dyDescent="0.25">
      <c r="A312" s="51"/>
      <c r="B312" s="51"/>
      <c r="C312" s="51"/>
    </row>
    <row r="313" spans="1:3" x14ac:dyDescent="0.25">
      <c r="A313" s="51"/>
      <c r="B313" s="51"/>
      <c r="C313" s="51"/>
    </row>
    <row r="314" spans="1:3" x14ac:dyDescent="0.25">
      <c r="A314" s="51"/>
      <c r="B314" s="51"/>
      <c r="C314" s="51"/>
    </row>
    <row r="315" spans="1:3" x14ac:dyDescent="0.25">
      <c r="A315" s="51"/>
      <c r="B315" s="51"/>
      <c r="C315" s="51"/>
    </row>
    <row r="316" spans="1:3" x14ac:dyDescent="0.25">
      <c r="A316" s="51"/>
      <c r="B316" s="51"/>
      <c r="C316" s="51"/>
    </row>
    <row r="317" spans="1:3" x14ac:dyDescent="0.25">
      <c r="A317" s="51"/>
      <c r="B317" s="51"/>
      <c r="C317" s="51"/>
    </row>
    <row r="318" spans="1:3" x14ac:dyDescent="0.25">
      <c r="A318" s="51"/>
      <c r="B318" s="51"/>
      <c r="C318" s="51"/>
    </row>
    <row r="319" spans="1:3" x14ac:dyDescent="0.25">
      <c r="A319" s="51"/>
      <c r="B319" s="51"/>
      <c r="C319" s="51"/>
    </row>
    <row r="320" spans="1:3" x14ac:dyDescent="0.25">
      <c r="A320" s="51"/>
      <c r="B320" s="51"/>
      <c r="C320" s="51"/>
    </row>
    <row r="321" spans="1:3" x14ac:dyDescent="0.25">
      <c r="A321" s="51"/>
      <c r="B321" s="51"/>
      <c r="C321" s="51"/>
    </row>
    <row r="322" spans="1:3" x14ac:dyDescent="0.25">
      <c r="A322" s="51"/>
      <c r="B322" s="51"/>
      <c r="C322" s="51"/>
    </row>
    <row r="323" spans="1:3" x14ac:dyDescent="0.25">
      <c r="A323" s="51"/>
      <c r="B323" s="51"/>
      <c r="C323" s="51"/>
    </row>
    <row r="324" spans="1:3" x14ac:dyDescent="0.25">
      <c r="A324" s="51"/>
      <c r="B324" s="51"/>
      <c r="C324" s="51"/>
    </row>
    <row r="325" spans="1:3" x14ac:dyDescent="0.25">
      <c r="A325" s="51"/>
      <c r="B325" s="51"/>
      <c r="C325" s="51"/>
    </row>
    <row r="326" spans="1:3" x14ac:dyDescent="0.25">
      <c r="A326" s="51"/>
      <c r="B326" s="51"/>
      <c r="C326" s="51"/>
    </row>
    <row r="327" spans="1:3" x14ac:dyDescent="0.25">
      <c r="A327" s="51"/>
      <c r="B327" s="51"/>
      <c r="C327" s="51"/>
    </row>
    <row r="328" spans="1:3" x14ac:dyDescent="0.25">
      <c r="A328" s="51"/>
      <c r="B328" s="51"/>
      <c r="C328" s="51"/>
    </row>
    <row r="329" spans="1:3" x14ac:dyDescent="0.25">
      <c r="A329" s="51"/>
      <c r="B329" s="51"/>
      <c r="C329" s="51"/>
    </row>
    <row r="330" spans="1:3" x14ac:dyDescent="0.25">
      <c r="A330" s="51"/>
      <c r="B330" s="51"/>
      <c r="C330" s="51"/>
    </row>
    <row r="331" spans="1:3" x14ac:dyDescent="0.25">
      <c r="A331" s="51"/>
      <c r="B331" s="51"/>
      <c r="C331" s="51"/>
    </row>
    <row r="332" spans="1:3" x14ac:dyDescent="0.25">
      <c r="A332" s="51"/>
      <c r="B332" s="51"/>
      <c r="C332" s="51"/>
    </row>
    <row r="333" spans="1:3" x14ac:dyDescent="0.25">
      <c r="A333" s="51"/>
      <c r="B333" s="51"/>
      <c r="C333" s="51"/>
    </row>
    <row r="334" spans="1:3" x14ac:dyDescent="0.25">
      <c r="A334" s="51"/>
      <c r="B334" s="51"/>
      <c r="C334" s="51"/>
    </row>
    <row r="335" spans="1:3" x14ac:dyDescent="0.25">
      <c r="A335" s="51"/>
      <c r="B335" s="51"/>
      <c r="C335" s="51"/>
    </row>
    <row r="336" spans="1:3" x14ac:dyDescent="0.25">
      <c r="A336" s="51"/>
      <c r="B336" s="51"/>
      <c r="C336" s="51"/>
    </row>
    <row r="337" spans="1:3" x14ac:dyDescent="0.25">
      <c r="A337" s="51"/>
      <c r="B337" s="51"/>
      <c r="C337" s="51"/>
    </row>
    <row r="338" spans="1:3" x14ac:dyDescent="0.25">
      <c r="A338" s="51"/>
      <c r="B338" s="51"/>
      <c r="C338" s="51"/>
    </row>
    <row r="339" spans="1:3" x14ac:dyDescent="0.25">
      <c r="A339" s="51"/>
      <c r="B339" s="51"/>
      <c r="C339" s="51"/>
    </row>
    <row r="340" spans="1:3" x14ac:dyDescent="0.25">
      <c r="A340" s="51"/>
      <c r="B340" s="51"/>
      <c r="C340" s="51"/>
    </row>
    <row r="341" spans="1:3" x14ac:dyDescent="0.25">
      <c r="A341" s="51"/>
      <c r="B341" s="51"/>
      <c r="C341" s="51"/>
    </row>
    <row r="342" spans="1:3" x14ac:dyDescent="0.25">
      <c r="A342" s="51"/>
      <c r="B342" s="51"/>
      <c r="C342" s="51"/>
    </row>
    <row r="343" spans="1:3" x14ac:dyDescent="0.25">
      <c r="A343" s="51"/>
      <c r="B343" s="51"/>
      <c r="C343" s="51"/>
    </row>
    <row r="344" spans="1:3" x14ac:dyDescent="0.25">
      <c r="A344" s="51"/>
      <c r="B344" s="51"/>
      <c r="C344" s="51"/>
    </row>
    <row r="345" spans="1:3" x14ac:dyDescent="0.25">
      <c r="A345" s="51"/>
      <c r="B345" s="51"/>
      <c r="C345" s="51"/>
    </row>
    <row r="346" spans="1:3" x14ac:dyDescent="0.25">
      <c r="A346" s="51"/>
      <c r="B346" s="51"/>
      <c r="C346" s="51"/>
    </row>
    <row r="347" spans="1:3" x14ac:dyDescent="0.25">
      <c r="A347" s="51"/>
      <c r="B347" s="51"/>
      <c r="C347" s="51"/>
    </row>
    <row r="348" spans="1:3" x14ac:dyDescent="0.25">
      <c r="A348" s="51"/>
      <c r="B348" s="51"/>
      <c r="C348" s="51"/>
    </row>
    <row r="349" spans="1:3" x14ac:dyDescent="0.25">
      <c r="A349" s="51"/>
      <c r="B349" s="51"/>
      <c r="C349" s="51"/>
    </row>
    <row r="350" spans="1:3" x14ac:dyDescent="0.25">
      <c r="A350" s="51"/>
      <c r="B350" s="51"/>
      <c r="C350" s="51"/>
    </row>
    <row r="351" spans="1:3" x14ac:dyDescent="0.25">
      <c r="A351" s="51"/>
      <c r="B351" s="51"/>
      <c r="C351" s="51"/>
    </row>
    <row r="352" spans="1:3" x14ac:dyDescent="0.25">
      <c r="A352" s="51"/>
      <c r="B352" s="51"/>
      <c r="C352" s="51"/>
    </row>
    <row r="353" spans="1:3" x14ac:dyDescent="0.25">
      <c r="A353" s="51"/>
      <c r="B353" s="51"/>
      <c r="C353" s="51"/>
    </row>
    <row r="354" spans="1:3" x14ac:dyDescent="0.25">
      <c r="A354" s="51"/>
      <c r="B354" s="51"/>
      <c r="C354" s="51"/>
    </row>
    <row r="355" spans="1:3" x14ac:dyDescent="0.25">
      <c r="A355" s="51"/>
      <c r="B355" s="51"/>
      <c r="C355" s="51"/>
    </row>
    <row r="356" spans="1:3" x14ac:dyDescent="0.25">
      <c r="A356" s="51"/>
      <c r="B356" s="51"/>
      <c r="C356" s="51"/>
    </row>
    <row r="357" spans="1:3" x14ac:dyDescent="0.25">
      <c r="A357" s="51"/>
      <c r="B357" s="51"/>
      <c r="C357" s="51"/>
    </row>
    <row r="358" spans="1:3" x14ac:dyDescent="0.25">
      <c r="A358" s="51"/>
      <c r="B358" s="51"/>
      <c r="C358" s="51"/>
    </row>
    <row r="359" spans="1:3" x14ac:dyDescent="0.25">
      <c r="A359" s="51"/>
      <c r="B359" s="51"/>
      <c r="C359" s="51"/>
    </row>
    <row r="360" spans="1:3" x14ac:dyDescent="0.25">
      <c r="A360" s="51"/>
      <c r="B360" s="51"/>
      <c r="C360" s="51"/>
    </row>
    <row r="361" spans="1:3" x14ac:dyDescent="0.25">
      <c r="A361" s="51"/>
      <c r="B361" s="51"/>
      <c r="C361" s="51"/>
    </row>
    <row r="362" spans="1:3" x14ac:dyDescent="0.25">
      <c r="A362" s="51"/>
      <c r="B362" s="51"/>
      <c r="C362" s="51"/>
    </row>
    <row r="363" spans="1:3" x14ac:dyDescent="0.25">
      <c r="A363" s="51"/>
      <c r="B363" s="51"/>
      <c r="C363" s="51"/>
    </row>
    <row r="364" spans="1:3" x14ac:dyDescent="0.25">
      <c r="A364" s="51"/>
      <c r="B364" s="51"/>
      <c r="C364" s="51"/>
    </row>
    <row r="365" spans="1:3" x14ac:dyDescent="0.25">
      <c r="A365" s="51"/>
      <c r="B365" s="51"/>
      <c r="C365" s="51"/>
    </row>
    <row r="366" spans="1:3" x14ac:dyDescent="0.25">
      <c r="A366" s="51"/>
      <c r="B366" s="51"/>
      <c r="C366" s="51"/>
    </row>
    <row r="367" spans="1:3" x14ac:dyDescent="0.25">
      <c r="A367" s="51"/>
      <c r="B367" s="51"/>
      <c r="C367" s="51"/>
    </row>
    <row r="368" spans="1:3" x14ac:dyDescent="0.25">
      <c r="A368" s="51"/>
      <c r="B368" s="51"/>
      <c r="C368" s="51"/>
    </row>
    <row r="369" spans="1:3" x14ac:dyDescent="0.25">
      <c r="A369" s="51"/>
      <c r="B369" s="51"/>
      <c r="C369" s="51"/>
    </row>
    <row r="370" spans="1:3" x14ac:dyDescent="0.25">
      <c r="A370" s="51"/>
      <c r="B370" s="51"/>
      <c r="C370" s="51"/>
    </row>
    <row r="371" spans="1:3" x14ac:dyDescent="0.25">
      <c r="A371" s="51"/>
      <c r="B371" s="51"/>
      <c r="C371" s="51"/>
    </row>
    <row r="372" spans="1:3" x14ac:dyDescent="0.25">
      <c r="A372" s="51"/>
      <c r="B372" s="51"/>
      <c r="C372" s="51"/>
    </row>
    <row r="373" spans="1:3" x14ac:dyDescent="0.25">
      <c r="A373" s="51"/>
      <c r="B373" s="51"/>
      <c r="C373" s="51"/>
    </row>
    <row r="374" spans="1:3" x14ac:dyDescent="0.25">
      <c r="A374" s="51"/>
      <c r="B374" s="51"/>
      <c r="C374" s="51"/>
    </row>
    <row r="375" spans="1:3" x14ac:dyDescent="0.25">
      <c r="A375" s="51"/>
      <c r="B375" s="51"/>
      <c r="C375" s="51"/>
    </row>
    <row r="376" spans="1:3" x14ac:dyDescent="0.25">
      <c r="A376" s="51"/>
      <c r="B376" s="51"/>
      <c r="C376" s="51"/>
    </row>
    <row r="377" spans="1:3" x14ac:dyDescent="0.25">
      <c r="A377" s="51"/>
      <c r="B377" s="51"/>
      <c r="C377" s="51"/>
    </row>
    <row r="378" spans="1:3" x14ac:dyDescent="0.25">
      <c r="A378" s="51"/>
      <c r="B378" s="51"/>
      <c r="C378" s="51"/>
    </row>
    <row r="379" spans="1:3" x14ac:dyDescent="0.25">
      <c r="A379" s="51"/>
      <c r="B379" s="51"/>
      <c r="C379" s="51"/>
    </row>
    <row r="380" spans="1:3" x14ac:dyDescent="0.25">
      <c r="A380" s="51"/>
      <c r="B380" s="51"/>
      <c r="C380" s="51"/>
    </row>
    <row r="381" spans="1:3" x14ac:dyDescent="0.25">
      <c r="A381" s="51"/>
      <c r="B381" s="51"/>
      <c r="C381" s="51"/>
    </row>
    <row r="382" spans="1:3" x14ac:dyDescent="0.25">
      <c r="A382" s="51"/>
      <c r="B382" s="51"/>
      <c r="C382" s="5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6" customWidth="1"/>
    <col min="2" max="2" width="30.140625" style="46" customWidth="1"/>
    <col min="3" max="3" width="12.28515625" style="46" customWidth="1"/>
    <col min="4" max="5" width="15" style="46" customWidth="1"/>
    <col min="6" max="7" width="13.28515625" style="46" customWidth="1"/>
    <col min="8" max="8" width="12.28515625" style="46" customWidth="1"/>
    <col min="9" max="9" width="17.85546875" style="46" customWidth="1"/>
    <col min="10" max="10" width="16.7109375" style="46" customWidth="1"/>
    <col min="11" max="11" width="24.5703125" style="46" customWidth="1"/>
    <col min="12" max="12" width="30.85546875" style="46" customWidth="1"/>
    <col min="13" max="13" width="27.140625" style="46" customWidth="1"/>
    <col min="14" max="14" width="32.42578125" style="46" customWidth="1"/>
    <col min="15" max="15" width="13.28515625" style="46" hidden="1" customWidth="1"/>
    <col min="16" max="16" width="8.7109375" style="46" hidden="1" customWidth="1"/>
    <col min="17" max="17" width="12.7109375" style="46" hidden="1" customWidth="1"/>
    <col min="18" max="18" width="0" style="46" hidden="1" customWidth="1"/>
    <col min="19" max="19" width="17" style="46" hidden="1" customWidth="1"/>
    <col min="20" max="21" width="12" style="46" hidden="1" customWidth="1"/>
    <col min="22" max="22" width="11" style="46" hidden="1" customWidth="1"/>
    <col min="23" max="25" width="17.7109375" style="46" hidden="1" customWidth="1"/>
    <col min="26" max="26" width="46.5703125" style="46" hidden="1" customWidth="1"/>
    <col min="27" max="28" width="12.28515625" style="46" customWidth="1"/>
    <col min="29" max="16384" width="9.140625" style="46"/>
  </cols>
  <sheetData>
    <row r="1" spans="1:28" ht="18.75" x14ac:dyDescent="0.25">
      <c r="Z1" s="22" t="s">
        <v>57</v>
      </c>
    </row>
    <row r="2" spans="1:28" ht="18.75" x14ac:dyDescent="0.3">
      <c r="Z2" s="23" t="s">
        <v>6</v>
      </c>
    </row>
    <row r="3" spans="1:28" ht="18.75" x14ac:dyDescent="0.3">
      <c r="Z3" s="23" t="s">
        <v>56</v>
      </c>
    </row>
    <row r="4" spans="1:28" s="2" customFormat="1" ht="15.75" x14ac:dyDescent="0.2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</row>
    <row r="5" spans="1:28" s="2" customFormat="1" ht="15.75" x14ac:dyDescent="0.2">
      <c r="A5" s="24"/>
    </row>
    <row r="6" spans="1:28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8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</row>
    <row r="8" spans="1:28" s="2" customFormat="1" ht="18.75" customHeight="1" x14ac:dyDescent="0.2">
      <c r="A8" s="212" t="s">
        <v>308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8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8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8" s="2" customFormat="1" ht="18.75" customHeight="1" x14ac:dyDescent="0.2">
      <c r="A11" s="212" t="str">
        <f>'1. паспорт местоположение'!A12:C12</f>
        <v>O_Che479_24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8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8" s="36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8" s="37" customFormat="1" ht="37.5" customHeight="1" x14ac:dyDescent="0.2">
      <c r="A14" s="214" t="str">
        <f>'1. паспорт местоположение'!A15:C15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8" s="37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8" x14ac:dyDescent="0.25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45"/>
      <c r="AB16" s="45"/>
    </row>
    <row r="17" spans="1:2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45"/>
      <c r="AB17" s="45"/>
    </row>
    <row r="18" spans="1:2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45"/>
      <c r="AB18" s="45"/>
    </row>
    <row r="19" spans="1:2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45"/>
      <c r="AB19" s="45"/>
    </row>
    <row r="20" spans="1:2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45"/>
      <c r="AB20" s="45"/>
    </row>
    <row r="21" spans="1:28" x14ac:dyDescent="0.25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45"/>
      <c r="AB21" s="45"/>
    </row>
    <row r="22" spans="1:28" x14ac:dyDescent="0.25">
      <c r="A22" s="246" t="s">
        <v>372</v>
      </c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6"/>
      <c r="V22" s="246"/>
      <c r="W22" s="246"/>
      <c r="X22" s="246"/>
      <c r="Y22" s="246"/>
      <c r="Z22" s="246"/>
      <c r="AA22" s="47"/>
      <c r="AB22" s="47"/>
    </row>
    <row r="23" spans="1:28" ht="32.25" customHeight="1" x14ac:dyDescent="0.25">
      <c r="A23" s="242" t="s">
        <v>373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4"/>
      <c r="M23" s="245" t="s">
        <v>374</v>
      </c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</row>
    <row r="24" spans="1:28" ht="151.5" customHeight="1" x14ac:dyDescent="0.25">
      <c r="A24" s="94" t="s">
        <v>375</v>
      </c>
      <c r="B24" s="95" t="s">
        <v>376</v>
      </c>
      <c r="C24" s="94" t="s">
        <v>377</v>
      </c>
      <c r="D24" s="94" t="s">
        <v>378</v>
      </c>
      <c r="E24" s="94" t="s">
        <v>379</v>
      </c>
      <c r="F24" s="94" t="s">
        <v>399</v>
      </c>
      <c r="G24" s="94" t="s">
        <v>400</v>
      </c>
      <c r="H24" s="94" t="s">
        <v>380</v>
      </c>
      <c r="I24" s="94" t="s">
        <v>401</v>
      </c>
      <c r="J24" s="94" t="s">
        <v>381</v>
      </c>
      <c r="K24" s="95" t="s">
        <v>382</v>
      </c>
      <c r="L24" s="95" t="s">
        <v>383</v>
      </c>
      <c r="M24" s="96" t="s">
        <v>384</v>
      </c>
      <c r="N24" s="95" t="s">
        <v>402</v>
      </c>
      <c r="O24" s="94" t="s">
        <v>403</v>
      </c>
      <c r="P24" s="94" t="s">
        <v>404</v>
      </c>
      <c r="Q24" s="94" t="s">
        <v>405</v>
      </c>
      <c r="R24" s="94" t="s">
        <v>380</v>
      </c>
      <c r="S24" s="94" t="s">
        <v>406</v>
      </c>
      <c r="T24" s="94" t="s">
        <v>407</v>
      </c>
      <c r="U24" s="94" t="s">
        <v>408</v>
      </c>
      <c r="V24" s="94" t="s">
        <v>405</v>
      </c>
      <c r="W24" s="97" t="s">
        <v>409</v>
      </c>
      <c r="X24" s="97" t="s">
        <v>410</v>
      </c>
      <c r="Y24" s="97" t="s">
        <v>411</v>
      </c>
      <c r="Z24" s="48" t="s">
        <v>385</v>
      </c>
    </row>
    <row r="25" spans="1:28" ht="16.5" customHeight="1" x14ac:dyDescent="0.25">
      <c r="A25" s="94">
        <v>1</v>
      </c>
      <c r="B25" s="95">
        <v>2</v>
      </c>
      <c r="C25" s="94">
        <v>3</v>
      </c>
      <c r="D25" s="95">
        <v>4</v>
      </c>
      <c r="E25" s="94">
        <v>5</v>
      </c>
      <c r="F25" s="95">
        <v>6</v>
      </c>
      <c r="G25" s="94">
        <v>7</v>
      </c>
      <c r="H25" s="95">
        <v>8</v>
      </c>
      <c r="I25" s="94">
        <v>9</v>
      </c>
      <c r="J25" s="95">
        <v>10</v>
      </c>
      <c r="K25" s="94">
        <v>11</v>
      </c>
      <c r="L25" s="95">
        <v>12</v>
      </c>
      <c r="M25" s="94">
        <v>13</v>
      </c>
      <c r="N25" s="95">
        <v>14</v>
      </c>
      <c r="O25" s="94">
        <v>15</v>
      </c>
      <c r="P25" s="95">
        <v>16</v>
      </c>
      <c r="Q25" s="94">
        <v>17</v>
      </c>
      <c r="R25" s="95">
        <v>18</v>
      </c>
      <c r="S25" s="94">
        <v>19</v>
      </c>
      <c r="T25" s="95">
        <v>20</v>
      </c>
      <c r="U25" s="94">
        <v>21</v>
      </c>
      <c r="V25" s="95">
        <v>22</v>
      </c>
      <c r="W25" s="94">
        <v>23</v>
      </c>
      <c r="X25" s="95">
        <v>24</v>
      </c>
      <c r="Y25" s="94">
        <v>25</v>
      </c>
      <c r="Z25" s="95">
        <v>26</v>
      </c>
    </row>
    <row r="26" spans="1:28" ht="45.75" customHeight="1" x14ac:dyDescent="0.25">
      <c r="A26" s="12" t="s">
        <v>386</v>
      </c>
      <c r="B26" s="12"/>
      <c r="C26" s="49" t="s">
        <v>412</v>
      </c>
      <c r="D26" s="49" t="s">
        <v>413</v>
      </c>
      <c r="E26" s="49" t="s">
        <v>414</v>
      </c>
      <c r="F26" s="49" t="s">
        <v>415</v>
      </c>
      <c r="G26" s="49" t="s">
        <v>416</v>
      </c>
      <c r="H26" s="49" t="s">
        <v>380</v>
      </c>
      <c r="I26" s="49" t="s">
        <v>417</v>
      </c>
      <c r="J26" s="49" t="s">
        <v>418</v>
      </c>
      <c r="K26" s="98"/>
      <c r="L26" s="49" t="s">
        <v>387</v>
      </c>
      <c r="M26" s="50" t="s">
        <v>298</v>
      </c>
      <c r="N26" s="98" t="s">
        <v>300</v>
      </c>
      <c r="O26" s="98" t="s">
        <v>300</v>
      </c>
      <c r="P26" s="98" t="s">
        <v>300</v>
      </c>
      <c r="Q26" s="98" t="s">
        <v>300</v>
      </c>
      <c r="R26" s="98" t="s">
        <v>300</v>
      </c>
      <c r="S26" s="98" t="s">
        <v>300</v>
      </c>
      <c r="T26" s="98" t="s">
        <v>300</v>
      </c>
      <c r="U26" s="98" t="s">
        <v>300</v>
      </c>
      <c r="V26" s="98" t="s">
        <v>300</v>
      </c>
      <c r="W26" s="98" t="s">
        <v>300</v>
      </c>
      <c r="X26" s="98" t="s">
        <v>300</v>
      </c>
      <c r="Y26" s="98" t="s">
        <v>300</v>
      </c>
      <c r="Z26" s="99" t="s">
        <v>388</v>
      </c>
    </row>
    <row r="27" spans="1:28" x14ac:dyDescent="0.25">
      <c r="A27" s="98" t="s">
        <v>389</v>
      </c>
      <c r="B27" s="98" t="s">
        <v>390</v>
      </c>
      <c r="C27" s="98" t="s">
        <v>300</v>
      </c>
      <c r="D27" s="98" t="s">
        <v>300</v>
      </c>
      <c r="E27" s="98" t="s">
        <v>300</v>
      </c>
      <c r="F27" s="98" t="s">
        <v>300</v>
      </c>
      <c r="G27" s="98" t="s">
        <v>300</v>
      </c>
      <c r="H27" s="98" t="s">
        <v>300</v>
      </c>
      <c r="I27" s="98" t="s">
        <v>300</v>
      </c>
      <c r="J27" s="98" t="s">
        <v>300</v>
      </c>
      <c r="K27" s="49" t="s">
        <v>391</v>
      </c>
      <c r="L27" s="98" t="s">
        <v>300</v>
      </c>
      <c r="M27" s="49" t="s">
        <v>299</v>
      </c>
      <c r="N27" s="98" t="s">
        <v>300</v>
      </c>
      <c r="O27" s="98" t="s">
        <v>300</v>
      </c>
      <c r="P27" s="98" t="s">
        <v>300</v>
      </c>
      <c r="Q27" s="98" t="s">
        <v>300</v>
      </c>
      <c r="R27" s="98" t="s">
        <v>300</v>
      </c>
      <c r="S27" s="98" t="s">
        <v>300</v>
      </c>
      <c r="T27" s="98" t="s">
        <v>300</v>
      </c>
      <c r="U27" s="98" t="s">
        <v>300</v>
      </c>
      <c r="V27" s="98" t="s">
        <v>300</v>
      </c>
      <c r="W27" s="98" t="s">
        <v>300</v>
      </c>
      <c r="X27" s="98" t="s">
        <v>300</v>
      </c>
      <c r="Y27" s="98" t="s">
        <v>300</v>
      </c>
      <c r="Z27" s="98" t="s">
        <v>300</v>
      </c>
    </row>
    <row r="28" spans="1:28" x14ac:dyDescent="0.25">
      <c r="A28" s="98" t="s">
        <v>389</v>
      </c>
      <c r="B28" s="98" t="s">
        <v>392</v>
      </c>
      <c r="C28" s="98" t="s">
        <v>300</v>
      </c>
      <c r="D28" s="98" t="s">
        <v>300</v>
      </c>
      <c r="E28" s="98" t="s">
        <v>300</v>
      </c>
      <c r="F28" s="98" t="s">
        <v>300</v>
      </c>
      <c r="G28" s="98" t="s">
        <v>300</v>
      </c>
      <c r="H28" s="98" t="s">
        <v>300</v>
      </c>
      <c r="I28" s="98" t="s">
        <v>300</v>
      </c>
      <c r="J28" s="98" t="s">
        <v>300</v>
      </c>
      <c r="K28" s="49" t="s">
        <v>393</v>
      </c>
      <c r="L28" s="98" t="s">
        <v>300</v>
      </c>
      <c r="M28" s="49" t="s">
        <v>394</v>
      </c>
      <c r="N28" s="98" t="s">
        <v>300</v>
      </c>
      <c r="O28" s="98" t="s">
        <v>300</v>
      </c>
      <c r="P28" s="98" t="s">
        <v>300</v>
      </c>
      <c r="Q28" s="98" t="s">
        <v>300</v>
      </c>
      <c r="R28" s="98" t="s">
        <v>300</v>
      </c>
      <c r="S28" s="98" t="s">
        <v>300</v>
      </c>
      <c r="T28" s="98" t="s">
        <v>300</v>
      </c>
      <c r="U28" s="98" t="s">
        <v>300</v>
      </c>
      <c r="V28" s="98" t="s">
        <v>300</v>
      </c>
      <c r="W28" s="98" t="s">
        <v>300</v>
      </c>
      <c r="X28" s="98" t="s">
        <v>300</v>
      </c>
      <c r="Y28" s="98" t="s">
        <v>300</v>
      </c>
      <c r="Z28" s="98" t="s">
        <v>300</v>
      </c>
    </row>
    <row r="29" spans="1:28" x14ac:dyDescent="0.25">
      <c r="A29" s="98" t="s">
        <v>389</v>
      </c>
      <c r="B29" s="98" t="s">
        <v>395</v>
      </c>
      <c r="C29" s="98" t="s">
        <v>300</v>
      </c>
      <c r="D29" s="98" t="s">
        <v>300</v>
      </c>
      <c r="E29" s="98" t="s">
        <v>300</v>
      </c>
      <c r="F29" s="98" t="s">
        <v>300</v>
      </c>
      <c r="G29" s="98" t="s">
        <v>300</v>
      </c>
      <c r="H29" s="98" t="s">
        <v>300</v>
      </c>
      <c r="I29" s="98" t="s">
        <v>300</v>
      </c>
      <c r="J29" s="98" t="s">
        <v>300</v>
      </c>
      <c r="K29" s="49" t="s">
        <v>396</v>
      </c>
      <c r="L29" s="98" t="s">
        <v>300</v>
      </c>
      <c r="M29" s="98" t="s">
        <v>300</v>
      </c>
      <c r="N29" s="98" t="s">
        <v>300</v>
      </c>
      <c r="O29" s="98" t="s">
        <v>300</v>
      </c>
      <c r="P29" s="98" t="s">
        <v>300</v>
      </c>
      <c r="Q29" s="98" t="s">
        <v>300</v>
      </c>
      <c r="R29" s="98" t="s">
        <v>300</v>
      </c>
      <c r="S29" s="98" t="s">
        <v>300</v>
      </c>
      <c r="T29" s="98" t="s">
        <v>300</v>
      </c>
      <c r="U29" s="98" t="s">
        <v>300</v>
      </c>
      <c r="V29" s="98" t="s">
        <v>300</v>
      </c>
      <c r="W29" s="98" t="s">
        <v>300</v>
      </c>
      <c r="X29" s="98" t="s">
        <v>300</v>
      </c>
      <c r="Y29" s="98" t="s">
        <v>300</v>
      </c>
      <c r="Z29" s="98" t="s">
        <v>300</v>
      </c>
    </row>
    <row r="30" spans="1:28" x14ac:dyDescent="0.25">
      <c r="A30" s="98" t="s">
        <v>389</v>
      </c>
      <c r="B30" s="98" t="s">
        <v>397</v>
      </c>
      <c r="C30" s="98" t="s">
        <v>300</v>
      </c>
      <c r="D30" s="98" t="s">
        <v>300</v>
      </c>
      <c r="E30" s="98" t="s">
        <v>300</v>
      </c>
      <c r="F30" s="98" t="s">
        <v>300</v>
      </c>
      <c r="G30" s="98" t="s">
        <v>300</v>
      </c>
      <c r="H30" s="98" t="s">
        <v>300</v>
      </c>
      <c r="I30" s="98" t="s">
        <v>300</v>
      </c>
      <c r="J30" s="98" t="s">
        <v>300</v>
      </c>
      <c r="K30" s="49" t="s">
        <v>398</v>
      </c>
      <c r="L30" s="98" t="s">
        <v>300</v>
      </c>
      <c r="M30" s="98" t="s">
        <v>300</v>
      </c>
      <c r="N30" s="98" t="s">
        <v>300</v>
      </c>
      <c r="O30" s="98" t="s">
        <v>300</v>
      </c>
      <c r="P30" s="98" t="s">
        <v>300</v>
      </c>
      <c r="Q30" s="98" t="s">
        <v>300</v>
      </c>
      <c r="R30" s="98" t="s">
        <v>300</v>
      </c>
      <c r="S30" s="98" t="s">
        <v>300</v>
      </c>
      <c r="T30" s="98" t="s">
        <v>300</v>
      </c>
      <c r="U30" s="98" t="s">
        <v>300</v>
      </c>
      <c r="V30" s="98" t="s">
        <v>300</v>
      </c>
      <c r="W30" s="98" t="s">
        <v>300</v>
      </c>
      <c r="X30" s="98" t="s">
        <v>300</v>
      </c>
      <c r="Y30" s="98" t="s">
        <v>300</v>
      </c>
      <c r="Z30" s="98" t="s">
        <v>300</v>
      </c>
    </row>
    <row r="31" spans="1:28" x14ac:dyDescent="0.25">
      <c r="A31" s="98" t="s">
        <v>394</v>
      </c>
      <c r="B31" s="98" t="s">
        <v>394</v>
      </c>
      <c r="C31" s="98" t="s">
        <v>394</v>
      </c>
      <c r="D31" s="98" t="s">
        <v>394</v>
      </c>
      <c r="E31" s="98" t="s">
        <v>394</v>
      </c>
      <c r="F31" s="98" t="s">
        <v>394</v>
      </c>
      <c r="G31" s="98" t="s">
        <v>394</v>
      </c>
      <c r="H31" s="98" t="s">
        <v>394</v>
      </c>
      <c r="I31" s="98" t="s">
        <v>394</v>
      </c>
      <c r="J31" s="98" t="s">
        <v>394</v>
      </c>
      <c r="K31" s="98" t="s">
        <v>394</v>
      </c>
      <c r="L31" s="98" t="s">
        <v>300</v>
      </c>
      <c r="M31" s="98" t="s">
        <v>300</v>
      </c>
      <c r="N31" s="98" t="s">
        <v>300</v>
      </c>
      <c r="O31" s="98" t="s">
        <v>300</v>
      </c>
      <c r="P31" s="98" t="s">
        <v>300</v>
      </c>
      <c r="Q31" s="98" t="s">
        <v>300</v>
      </c>
      <c r="R31" s="98" t="s">
        <v>300</v>
      </c>
      <c r="S31" s="98" t="s">
        <v>300</v>
      </c>
      <c r="T31" s="98" t="s">
        <v>300</v>
      </c>
      <c r="U31" s="98" t="s">
        <v>300</v>
      </c>
      <c r="V31" s="98" t="s">
        <v>300</v>
      </c>
      <c r="W31" s="98" t="s">
        <v>300</v>
      </c>
      <c r="X31" s="98" t="s">
        <v>300</v>
      </c>
      <c r="Y31" s="98" t="s">
        <v>300</v>
      </c>
      <c r="Z31" s="98" t="s">
        <v>300</v>
      </c>
    </row>
    <row r="32" spans="1:28" ht="30" x14ac:dyDescent="0.25">
      <c r="A32" s="12" t="s">
        <v>386</v>
      </c>
      <c r="B32" s="12"/>
      <c r="C32" s="49" t="s">
        <v>419</v>
      </c>
      <c r="D32" s="49" t="s">
        <v>420</v>
      </c>
      <c r="E32" s="49" t="s">
        <v>421</v>
      </c>
      <c r="F32" s="49" t="s">
        <v>422</v>
      </c>
      <c r="G32" s="49" t="s">
        <v>423</v>
      </c>
      <c r="H32" s="49" t="s">
        <v>380</v>
      </c>
      <c r="I32" s="49" t="s">
        <v>424</v>
      </c>
      <c r="J32" s="49" t="s">
        <v>425</v>
      </c>
      <c r="K32" s="98"/>
      <c r="L32" s="98" t="s">
        <v>300</v>
      </c>
      <c r="M32" s="98" t="s">
        <v>300</v>
      </c>
      <c r="N32" s="98" t="s">
        <v>300</v>
      </c>
      <c r="O32" s="98" t="s">
        <v>300</v>
      </c>
      <c r="P32" s="98" t="s">
        <v>300</v>
      </c>
      <c r="Q32" s="98" t="s">
        <v>300</v>
      </c>
      <c r="R32" s="98" t="s">
        <v>300</v>
      </c>
      <c r="S32" s="98" t="s">
        <v>300</v>
      </c>
      <c r="T32" s="98" t="s">
        <v>300</v>
      </c>
      <c r="U32" s="98" t="s">
        <v>300</v>
      </c>
      <c r="V32" s="98" t="s">
        <v>300</v>
      </c>
      <c r="W32" s="98" t="s">
        <v>300</v>
      </c>
      <c r="X32" s="98" t="s">
        <v>300</v>
      </c>
      <c r="Y32" s="98" t="s">
        <v>300</v>
      </c>
      <c r="Z32" s="98" t="s">
        <v>300</v>
      </c>
    </row>
    <row r="33" spans="1:26" x14ac:dyDescent="0.25">
      <c r="A33" s="98" t="s">
        <v>394</v>
      </c>
      <c r="B33" s="98" t="s">
        <v>394</v>
      </c>
      <c r="C33" s="98" t="s">
        <v>394</v>
      </c>
      <c r="D33" s="98" t="s">
        <v>394</v>
      </c>
      <c r="E33" s="98" t="s">
        <v>394</v>
      </c>
      <c r="F33" s="98" t="s">
        <v>394</v>
      </c>
      <c r="G33" s="98" t="s">
        <v>394</v>
      </c>
      <c r="H33" s="98" t="s">
        <v>394</v>
      </c>
      <c r="I33" s="98" t="s">
        <v>394</v>
      </c>
      <c r="J33" s="98" t="s">
        <v>394</v>
      </c>
      <c r="K33" s="98" t="s">
        <v>394</v>
      </c>
      <c r="L33" s="98" t="s">
        <v>300</v>
      </c>
      <c r="M33" s="98" t="s">
        <v>300</v>
      </c>
      <c r="N33" s="98" t="s">
        <v>300</v>
      </c>
      <c r="O33" s="98" t="s">
        <v>300</v>
      </c>
      <c r="P33" s="98" t="s">
        <v>300</v>
      </c>
      <c r="Q33" s="98" t="s">
        <v>300</v>
      </c>
      <c r="R33" s="98" t="s">
        <v>300</v>
      </c>
      <c r="S33" s="98" t="s">
        <v>300</v>
      </c>
      <c r="T33" s="98" t="s">
        <v>300</v>
      </c>
      <c r="U33" s="98" t="s">
        <v>300</v>
      </c>
      <c r="V33" s="98" t="s">
        <v>300</v>
      </c>
      <c r="W33" s="98" t="s">
        <v>300</v>
      </c>
      <c r="X33" s="98" t="s">
        <v>300</v>
      </c>
      <c r="Y33" s="98" t="s">
        <v>300</v>
      </c>
      <c r="Z33" s="98" t="s">
        <v>300</v>
      </c>
    </row>
    <row r="37" spans="1:26" x14ac:dyDescent="0.25">
      <c r="A37" s="100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2" customWidth="1"/>
    <col min="2" max="2" width="25.5703125" style="52" customWidth="1"/>
    <col min="3" max="3" width="71.28515625" style="52" customWidth="1"/>
    <col min="4" max="4" width="16.140625" style="52" customWidth="1"/>
    <col min="5" max="5" width="9.42578125" style="52" customWidth="1"/>
    <col min="6" max="6" width="8.7109375" style="52" customWidth="1"/>
    <col min="7" max="7" width="9" style="52" customWidth="1"/>
    <col min="8" max="8" width="8.42578125" style="52" customWidth="1"/>
    <col min="9" max="9" width="8.7109375" style="52" customWidth="1"/>
    <col min="10" max="10" width="8.85546875" style="52" customWidth="1"/>
    <col min="11" max="11" width="9" style="52" customWidth="1"/>
    <col min="12" max="12" width="8.140625" style="52" customWidth="1"/>
    <col min="13" max="13" width="12" style="52" customWidth="1"/>
    <col min="14" max="14" width="10.5703125" style="52" customWidth="1"/>
    <col min="15" max="15" width="9.140625" style="52"/>
    <col min="16" max="16384" width="9.140625" style="46"/>
  </cols>
  <sheetData>
    <row r="1" spans="1:20" ht="18.75" x14ac:dyDescent="0.25">
      <c r="A1" s="21"/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2" t="s">
        <v>57</v>
      </c>
    </row>
    <row r="2" spans="1:20" ht="18.75" x14ac:dyDescent="0.3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3" t="s">
        <v>6</v>
      </c>
    </row>
    <row r="3" spans="1:20" ht="18.75" x14ac:dyDescent="0.3">
      <c r="A3" s="24"/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3" t="s">
        <v>56</v>
      </c>
    </row>
    <row r="4" spans="1:20" ht="18.75" x14ac:dyDescent="0.3">
      <c r="A4" s="24"/>
      <c r="B4" s="24"/>
      <c r="C4" s="2"/>
      <c r="D4" s="2"/>
      <c r="E4" s="2"/>
      <c r="F4" s="2"/>
      <c r="G4" s="2"/>
      <c r="H4" s="2"/>
      <c r="I4" s="2"/>
      <c r="J4" s="2"/>
      <c r="K4" s="2"/>
      <c r="L4" s="23"/>
      <c r="M4" s="2"/>
      <c r="N4" s="2"/>
      <c r="O4" s="2"/>
    </row>
    <row r="5" spans="1:20" s="2" customFormat="1" ht="18.75" customHeight="1" x14ac:dyDescent="0.3">
      <c r="A5" s="21"/>
      <c r="T5" s="23"/>
    </row>
    <row r="6" spans="1:20" s="2" customFormat="1" ht="15.75" x14ac:dyDescent="0.2">
      <c r="A6" s="207" t="str">
        <f>'1. паспорт местоположение'!$A$5</f>
        <v>Год раскрытия информации: 2024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ht="15.75" x14ac:dyDescent="0.2">
      <c r="A7" s="24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308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O_Che479_24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36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37" customFormat="1" ht="15.75" x14ac:dyDescent="0.2">
      <c r="A16" s="212" t="str">
        <f>'1. паспорт местоположение'!A15:C15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</row>
    <row r="17" spans="1:20" s="37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20" ht="96" customHeight="1" x14ac:dyDescent="0.25">
      <c r="A18" s="247" t="s">
        <v>426</v>
      </c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</row>
    <row r="19" spans="1:20" ht="15.75" customHeight="1" x14ac:dyDescent="0.25">
      <c r="A19" s="216" t="s">
        <v>1</v>
      </c>
      <c r="B19" s="216" t="s">
        <v>427</v>
      </c>
      <c r="C19" s="216" t="s">
        <v>428</v>
      </c>
      <c r="D19" s="216" t="s">
        <v>429</v>
      </c>
      <c r="E19" s="248" t="s">
        <v>430</v>
      </c>
      <c r="F19" s="249"/>
      <c r="G19" s="249"/>
      <c r="H19" s="249"/>
      <c r="I19" s="250"/>
      <c r="J19" s="248" t="s">
        <v>431</v>
      </c>
      <c r="K19" s="249"/>
      <c r="L19" s="249"/>
      <c r="M19" s="249"/>
      <c r="N19" s="249"/>
      <c r="O19" s="250"/>
    </row>
    <row r="20" spans="1:20" ht="123" customHeight="1" x14ac:dyDescent="0.25">
      <c r="A20" s="216"/>
      <c r="B20" s="216"/>
      <c r="C20" s="216"/>
      <c r="D20" s="216"/>
      <c r="E20" s="89" t="s">
        <v>432</v>
      </c>
      <c r="F20" s="89" t="s">
        <v>433</v>
      </c>
      <c r="G20" s="89" t="s">
        <v>434</v>
      </c>
      <c r="H20" s="89" t="s">
        <v>435</v>
      </c>
      <c r="I20" s="89" t="s">
        <v>64</v>
      </c>
      <c r="J20" s="89" t="s">
        <v>436</v>
      </c>
      <c r="K20" s="89" t="s">
        <v>437</v>
      </c>
      <c r="L20" s="90" t="s">
        <v>438</v>
      </c>
      <c r="M20" s="91" t="s">
        <v>439</v>
      </c>
      <c r="N20" s="91" t="s">
        <v>440</v>
      </c>
      <c r="O20" s="91" t="s">
        <v>441</v>
      </c>
    </row>
    <row r="21" spans="1:20" ht="15.75" x14ac:dyDescent="0.25">
      <c r="A21" s="92">
        <v>1</v>
      </c>
      <c r="B21" s="93">
        <v>2</v>
      </c>
      <c r="C21" s="92">
        <v>3</v>
      </c>
      <c r="D21" s="93">
        <v>4</v>
      </c>
      <c r="E21" s="92">
        <v>5</v>
      </c>
      <c r="F21" s="93">
        <v>6</v>
      </c>
      <c r="G21" s="92">
        <v>7</v>
      </c>
      <c r="H21" s="93">
        <v>8</v>
      </c>
      <c r="I21" s="92">
        <v>9</v>
      </c>
      <c r="J21" s="93">
        <v>10</v>
      </c>
      <c r="K21" s="92">
        <v>11</v>
      </c>
      <c r="L21" s="93">
        <v>12</v>
      </c>
      <c r="M21" s="92">
        <v>13</v>
      </c>
      <c r="N21" s="93">
        <v>14</v>
      </c>
      <c r="O21" s="92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20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</row>
    <row r="25" spans="1:20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</row>
    <row r="26" spans="1:20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</row>
    <row r="27" spans="1:20" x14ac:dyDescent="0.2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</row>
    <row r="28" spans="1:20" x14ac:dyDescent="0.25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</row>
    <row r="29" spans="1:20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20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20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</row>
    <row r="32" spans="1:20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</row>
    <row r="33" spans="1:15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</row>
    <row r="34" spans="1:15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5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</row>
    <row r="36" spans="1:15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</row>
    <row r="37" spans="1:15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</row>
    <row r="38" spans="1:15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  <row r="39" spans="1:15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</row>
    <row r="40" spans="1:15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</row>
    <row r="41" spans="1:15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</row>
    <row r="42" spans="1:15" x14ac:dyDescent="0.2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</row>
    <row r="43" spans="1:15" x14ac:dyDescent="0.2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</row>
    <row r="44" spans="1:15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</row>
    <row r="45" spans="1:15" x14ac:dyDescent="0.2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</row>
    <row r="46" spans="1:15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</row>
    <row r="47" spans="1:15" x14ac:dyDescent="0.2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</row>
    <row r="48" spans="1:15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</row>
    <row r="49" spans="1:15" x14ac:dyDescent="0.2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</row>
    <row r="50" spans="1:15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</row>
    <row r="51" spans="1:15" x14ac:dyDescent="0.2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  <row r="52" spans="1:15" x14ac:dyDescent="0.2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</row>
    <row r="53" spans="1:15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</row>
    <row r="54" spans="1:15" x14ac:dyDescent="0.2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</row>
    <row r="55" spans="1:15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</row>
    <row r="56" spans="1:15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</row>
    <row r="57" spans="1:15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</row>
    <row r="58" spans="1:15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</row>
    <row r="59" spans="1:15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</row>
    <row r="60" spans="1:15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</row>
    <row r="61" spans="1:15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</row>
    <row r="62" spans="1:15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</row>
    <row r="63" spans="1:15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</row>
    <row r="64" spans="1:15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</row>
    <row r="65" spans="1:15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</row>
    <row r="66" spans="1:15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</row>
    <row r="67" spans="1:15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</row>
    <row r="68" spans="1:15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</row>
    <row r="69" spans="1:15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</row>
    <row r="70" spans="1:15" x14ac:dyDescent="0.2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</row>
    <row r="71" spans="1:15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</row>
    <row r="72" spans="1:15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</row>
    <row r="73" spans="1:15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</row>
    <row r="74" spans="1:15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15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15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</row>
    <row r="77" spans="1:15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</row>
    <row r="78" spans="1:15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</row>
    <row r="79" spans="1:15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</row>
    <row r="80" spans="1:15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</row>
    <row r="81" spans="1:15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</row>
    <row r="82" spans="1:15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</row>
    <row r="83" spans="1:15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</row>
    <row r="84" spans="1:15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</row>
    <row r="85" spans="1:15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</row>
    <row r="86" spans="1:15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</row>
    <row r="87" spans="1:15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</row>
    <row r="88" spans="1:15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</row>
    <row r="89" spans="1:15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</row>
    <row r="90" spans="1:15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</row>
    <row r="91" spans="1:15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</row>
    <row r="92" spans="1:15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</row>
    <row r="93" spans="1:15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</row>
    <row r="94" spans="1:15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</row>
    <row r="95" spans="1:15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</row>
    <row r="96" spans="1:15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</row>
    <row r="97" spans="1:15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</row>
    <row r="98" spans="1:15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</row>
    <row r="99" spans="1:15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</row>
    <row r="100" spans="1:15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</row>
    <row r="101" spans="1:15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</row>
    <row r="102" spans="1:15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</row>
    <row r="103" spans="1:15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</row>
    <row r="104" spans="1:15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</row>
    <row r="105" spans="1:15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</row>
    <row r="106" spans="1:15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</row>
    <row r="107" spans="1:15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</row>
    <row r="108" spans="1:15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</row>
    <row r="109" spans="1:15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</row>
    <row r="110" spans="1:15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</row>
    <row r="111" spans="1:15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</row>
    <row r="112" spans="1:15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</row>
    <row r="113" spans="1:15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</row>
    <row r="114" spans="1:15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</row>
    <row r="115" spans="1:15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</row>
    <row r="116" spans="1:15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</row>
    <row r="117" spans="1:15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</row>
    <row r="118" spans="1:15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</row>
    <row r="119" spans="1:15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</row>
    <row r="120" spans="1:15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</row>
    <row r="121" spans="1:15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</row>
    <row r="122" spans="1:15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</row>
    <row r="123" spans="1:15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</row>
    <row r="124" spans="1:15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</row>
    <row r="125" spans="1:15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</row>
    <row r="126" spans="1:15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</row>
    <row r="127" spans="1:15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</row>
    <row r="128" spans="1:15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</row>
    <row r="129" spans="1:15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</row>
    <row r="130" spans="1:15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</row>
    <row r="131" spans="1:15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</row>
    <row r="132" spans="1:15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</row>
    <row r="133" spans="1:15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</row>
    <row r="134" spans="1:15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</row>
    <row r="135" spans="1:15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</row>
    <row r="136" spans="1:15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</row>
    <row r="137" spans="1:15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</row>
    <row r="138" spans="1:15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</row>
    <row r="139" spans="1:15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</row>
    <row r="140" spans="1:15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</row>
    <row r="141" spans="1:15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</row>
    <row r="142" spans="1:15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</row>
    <row r="143" spans="1:15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</row>
    <row r="144" spans="1:15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</row>
    <row r="145" spans="1:15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</row>
    <row r="146" spans="1:15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</row>
    <row r="147" spans="1:15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</row>
    <row r="148" spans="1:15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</row>
    <row r="149" spans="1:15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</row>
    <row r="150" spans="1:15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</row>
    <row r="151" spans="1:15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</row>
    <row r="152" spans="1:15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</row>
    <row r="153" spans="1:15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</row>
    <row r="154" spans="1:15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</row>
    <row r="155" spans="1:15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</row>
    <row r="156" spans="1:15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</row>
    <row r="157" spans="1:15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</row>
    <row r="158" spans="1:15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</row>
    <row r="159" spans="1:15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</row>
    <row r="160" spans="1:15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</row>
    <row r="161" spans="1:15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</row>
    <row r="162" spans="1:15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</row>
    <row r="163" spans="1:15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</row>
    <row r="164" spans="1:15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</row>
    <row r="165" spans="1:15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</row>
    <row r="166" spans="1:15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</row>
    <row r="167" spans="1:15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</row>
    <row r="168" spans="1:15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</row>
    <row r="169" spans="1:15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</row>
    <row r="170" spans="1:15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</row>
    <row r="171" spans="1:15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</row>
    <row r="172" spans="1:15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</row>
    <row r="173" spans="1:15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</row>
    <row r="174" spans="1:15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</row>
    <row r="175" spans="1:15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</row>
    <row r="176" spans="1:15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</row>
    <row r="177" spans="1:15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</row>
    <row r="178" spans="1:15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</row>
    <row r="179" spans="1:15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</row>
    <row r="180" spans="1:15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</row>
    <row r="181" spans="1:15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</row>
    <row r="182" spans="1:15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</row>
    <row r="183" spans="1:15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</row>
    <row r="184" spans="1:15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</row>
    <row r="185" spans="1:15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</row>
    <row r="186" spans="1:15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</row>
    <row r="187" spans="1:15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</row>
    <row r="188" spans="1:15" x14ac:dyDescent="0.25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</row>
    <row r="189" spans="1:15" x14ac:dyDescent="0.25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</row>
    <row r="190" spans="1:15" x14ac:dyDescent="0.25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</row>
    <row r="191" spans="1:15" x14ac:dyDescent="0.25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</row>
    <row r="192" spans="1:15" x14ac:dyDescent="0.25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</row>
    <row r="193" spans="1:15" x14ac:dyDescent="0.25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</row>
    <row r="194" spans="1:15" x14ac:dyDescent="0.25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</row>
    <row r="195" spans="1:15" x14ac:dyDescent="0.25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</row>
    <row r="196" spans="1:15" x14ac:dyDescent="0.25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</row>
    <row r="197" spans="1:15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</row>
    <row r="198" spans="1:15" x14ac:dyDescent="0.25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</row>
    <row r="199" spans="1:15" x14ac:dyDescent="0.25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</row>
    <row r="200" spans="1:15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</row>
    <row r="201" spans="1:15" x14ac:dyDescent="0.25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</row>
    <row r="202" spans="1:15" x14ac:dyDescent="0.25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</row>
    <row r="203" spans="1:15" x14ac:dyDescent="0.25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</row>
    <row r="204" spans="1:15" x14ac:dyDescent="0.25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</row>
    <row r="205" spans="1:15" x14ac:dyDescent="0.25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</row>
    <row r="206" spans="1:15" x14ac:dyDescent="0.25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</row>
    <row r="207" spans="1:15" x14ac:dyDescent="0.25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</row>
    <row r="208" spans="1:15" x14ac:dyDescent="0.25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</row>
    <row r="209" spans="1:15" x14ac:dyDescent="0.25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</row>
    <row r="210" spans="1:15" x14ac:dyDescent="0.25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</row>
    <row r="211" spans="1:15" x14ac:dyDescent="0.25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</row>
    <row r="212" spans="1:15" x14ac:dyDescent="0.25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</row>
    <row r="213" spans="1:15" x14ac:dyDescent="0.25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</row>
    <row r="214" spans="1:15" x14ac:dyDescent="0.25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</row>
    <row r="215" spans="1:15" x14ac:dyDescent="0.25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</row>
    <row r="216" spans="1:15" x14ac:dyDescent="0.25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</row>
    <row r="217" spans="1:15" x14ac:dyDescent="0.25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</row>
    <row r="218" spans="1:15" x14ac:dyDescent="0.25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</row>
    <row r="219" spans="1:15" x14ac:dyDescent="0.25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</row>
    <row r="220" spans="1:15" x14ac:dyDescent="0.25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</row>
    <row r="221" spans="1:15" x14ac:dyDescent="0.25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</row>
    <row r="222" spans="1:15" x14ac:dyDescent="0.25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</row>
    <row r="223" spans="1:15" x14ac:dyDescent="0.25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</row>
    <row r="224" spans="1:15" x14ac:dyDescent="0.25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</row>
    <row r="225" spans="1:15" x14ac:dyDescent="0.25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</row>
    <row r="226" spans="1:15" x14ac:dyDescent="0.25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</row>
    <row r="227" spans="1:15" x14ac:dyDescent="0.25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</row>
    <row r="228" spans="1:15" x14ac:dyDescent="0.25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</row>
    <row r="229" spans="1:15" x14ac:dyDescent="0.25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</row>
    <row r="230" spans="1:15" x14ac:dyDescent="0.25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</row>
    <row r="231" spans="1:15" x14ac:dyDescent="0.25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</row>
    <row r="232" spans="1:15" x14ac:dyDescent="0.25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</row>
    <row r="233" spans="1:15" x14ac:dyDescent="0.25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</row>
    <row r="234" spans="1:15" x14ac:dyDescent="0.25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</row>
    <row r="235" spans="1:15" x14ac:dyDescent="0.25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</row>
    <row r="236" spans="1:15" x14ac:dyDescent="0.25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</row>
    <row r="237" spans="1:15" x14ac:dyDescent="0.25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</row>
    <row r="238" spans="1:15" x14ac:dyDescent="0.25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</row>
    <row r="239" spans="1:15" x14ac:dyDescent="0.25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</row>
    <row r="240" spans="1:15" x14ac:dyDescent="0.25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</row>
    <row r="241" spans="1:15" x14ac:dyDescent="0.25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</row>
    <row r="242" spans="1:15" x14ac:dyDescent="0.25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</row>
    <row r="243" spans="1:15" x14ac:dyDescent="0.25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</row>
    <row r="244" spans="1:15" x14ac:dyDescent="0.25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</row>
    <row r="245" spans="1:15" x14ac:dyDescent="0.25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</row>
    <row r="246" spans="1:15" x14ac:dyDescent="0.25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</row>
    <row r="247" spans="1:15" x14ac:dyDescent="0.25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</row>
    <row r="248" spans="1:15" x14ac:dyDescent="0.25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</row>
    <row r="249" spans="1:15" x14ac:dyDescent="0.25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</row>
    <row r="250" spans="1:15" x14ac:dyDescent="0.25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</row>
    <row r="251" spans="1:15" x14ac:dyDescent="0.25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</row>
    <row r="252" spans="1:15" x14ac:dyDescent="0.25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</row>
    <row r="253" spans="1:15" x14ac:dyDescent="0.25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</row>
    <row r="254" spans="1:15" x14ac:dyDescent="0.25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</row>
    <row r="255" spans="1:15" x14ac:dyDescent="0.25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</row>
    <row r="256" spans="1:15" x14ac:dyDescent="0.25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</row>
    <row r="257" spans="1:15" x14ac:dyDescent="0.25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</row>
    <row r="258" spans="1:15" x14ac:dyDescent="0.25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</row>
    <row r="259" spans="1:15" x14ac:dyDescent="0.25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</row>
    <row r="260" spans="1:15" x14ac:dyDescent="0.25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</row>
    <row r="261" spans="1:15" x14ac:dyDescent="0.25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</row>
    <row r="262" spans="1:15" x14ac:dyDescent="0.25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</row>
    <row r="263" spans="1:15" x14ac:dyDescent="0.25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</row>
    <row r="264" spans="1:15" x14ac:dyDescent="0.25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</row>
    <row r="265" spans="1:15" x14ac:dyDescent="0.25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</row>
    <row r="266" spans="1:15" x14ac:dyDescent="0.25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</row>
    <row r="267" spans="1:15" x14ac:dyDescent="0.25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</row>
    <row r="268" spans="1:15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</row>
    <row r="269" spans="1:15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</row>
    <row r="270" spans="1:15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</row>
    <row r="271" spans="1:15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</row>
    <row r="272" spans="1:15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</row>
    <row r="273" spans="1:15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</row>
    <row r="274" spans="1:15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</row>
    <row r="275" spans="1:15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</row>
    <row r="276" spans="1:15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</row>
    <row r="277" spans="1:15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</row>
    <row r="278" spans="1:15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</row>
    <row r="279" spans="1:15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</row>
    <row r="280" spans="1:15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</row>
    <row r="281" spans="1:15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</row>
    <row r="282" spans="1:15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</row>
    <row r="283" spans="1:15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</row>
    <row r="284" spans="1:15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</row>
    <row r="285" spans="1:15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</row>
    <row r="286" spans="1:15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</row>
    <row r="287" spans="1:15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</row>
    <row r="288" spans="1:15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</row>
    <row r="289" spans="1:15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</row>
    <row r="290" spans="1:15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</row>
    <row r="291" spans="1:15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</row>
    <row r="292" spans="1:15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</row>
    <row r="293" spans="1:15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</row>
    <row r="294" spans="1:15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</row>
    <row r="295" spans="1:15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</row>
    <row r="296" spans="1:15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</row>
    <row r="297" spans="1:15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</row>
    <row r="298" spans="1:15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</row>
    <row r="299" spans="1:15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</row>
    <row r="300" spans="1:15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</row>
    <row r="301" spans="1:15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</row>
    <row r="302" spans="1:15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</row>
    <row r="303" spans="1:15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</row>
    <row r="304" spans="1:15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</row>
    <row r="305" spans="1:15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</row>
    <row r="306" spans="1:15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</row>
    <row r="307" spans="1:15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</row>
    <row r="308" spans="1:15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</row>
    <row r="309" spans="1:15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</row>
    <row r="310" spans="1:15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</row>
    <row r="311" spans="1:15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</row>
    <row r="312" spans="1:15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</row>
    <row r="313" spans="1:15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</row>
    <row r="314" spans="1:15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</row>
    <row r="315" spans="1:15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</row>
    <row r="316" spans="1:15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</row>
    <row r="317" spans="1:15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</row>
    <row r="318" spans="1:15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</row>
    <row r="319" spans="1:15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</row>
    <row r="320" spans="1:15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</row>
    <row r="321" spans="1:15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</row>
    <row r="322" spans="1:15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</row>
    <row r="323" spans="1:15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</row>
    <row r="324" spans="1:15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</row>
    <row r="325" spans="1:15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</row>
    <row r="326" spans="1:15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</row>
    <row r="327" spans="1:15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</row>
    <row r="328" spans="1:15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</row>
    <row r="329" spans="1:15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</row>
    <row r="330" spans="1:15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</row>
    <row r="331" spans="1:15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</row>
    <row r="332" spans="1:15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</row>
    <row r="333" spans="1:15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</row>
    <row r="334" spans="1:15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</row>
    <row r="335" spans="1:15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</row>
    <row r="336" spans="1:15" x14ac:dyDescent="0.25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</row>
    <row r="337" spans="1:15" x14ac:dyDescent="0.25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</row>
    <row r="338" spans="1:15" x14ac:dyDescent="0.25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</row>
    <row r="339" spans="1:15" x14ac:dyDescent="0.25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</row>
    <row r="340" spans="1:15" x14ac:dyDescent="0.25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</row>
    <row r="341" spans="1:15" x14ac:dyDescent="0.25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</row>
    <row r="342" spans="1:15" x14ac:dyDescent="0.25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</row>
    <row r="343" spans="1:15" x14ac:dyDescent="0.25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</row>
    <row r="344" spans="1:15" x14ac:dyDescent="0.25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</row>
    <row r="345" spans="1:15" x14ac:dyDescent="0.25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</row>
    <row r="346" spans="1:15" x14ac:dyDescent="0.25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</row>
    <row r="347" spans="1:15" x14ac:dyDescent="0.25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</row>
    <row r="348" spans="1:15" x14ac:dyDescent="0.25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</row>
    <row r="349" spans="1:15" x14ac:dyDescent="0.25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</row>
    <row r="350" spans="1:15" x14ac:dyDescent="0.25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</row>
    <row r="351" spans="1:15" x14ac:dyDescent="0.25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</row>
    <row r="352" spans="1:15" x14ac:dyDescent="0.25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</row>
    <row r="353" spans="1:15" x14ac:dyDescent="0.25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</row>
    <row r="354" spans="1:15" x14ac:dyDescent="0.25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</row>
    <row r="355" spans="1:15" x14ac:dyDescent="0.25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</row>
    <row r="356" spans="1:15" x14ac:dyDescent="0.25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</row>
    <row r="357" spans="1:15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</row>
    <row r="358" spans="1:15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</row>
    <row r="359" spans="1:15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</row>
    <row r="360" spans="1:15" x14ac:dyDescent="0.25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B24" sqref="B24:E24"/>
    </sheetView>
  </sheetViews>
  <sheetFormatPr defaultColWidth="9.140625" defaultRowHeight="15" x14ac:dyDescent="0.25"/>
  <cols>
    <col min="1" max="1" width="9.140625" style="46"/>
    <col min="2" max="2" width="28" style="46" customWidth="1"/>
    <col min="3" max="3" width="24.140625" style="46" customWidth="1"/>
    <col min="4" max="4" width="20" style="46" customWidth="1"/>
    <col min="5" max="5" width="15.85546875" style="46" customWidth="1"/>
    <col min="6" max="16384" width="9.140625" style="46"/>
  </cols>
  <sheetData>
    <row r="1" spans="1:6" ht="18.75" x14ac:dyDescent="0.25">
      <c r="A1" s="21"/>
      <c r="B1" s="2"/>
      <c r="C1" s="2"/>
      <c r="D1" s="2"/>
      <c r="E1" s="2"/>
      <c r="F1" s="22" t="s">
        <v>57</v>
      </c>
    </row>
    <row r="2" spans="1:6" ht="18.75" x14ac:dyDescent="0.3">
      <c r="A2" s="21"/>
      <c r="B2" s="2"/>
      <c r="C2" s="2"/>
      <c r="D2" s="2"/>
      <c r="E2" s="2"/>
      <c r="F2" s="23" t="s">
        <v>6</v>
      </c>
    </row>
    <row r="3" spans="1:6" ht="18.75" x14ac:dyDescent="0.3">
      <c r="A3" s="24"/>
      <c r="B3" s="2"/>
      <c r="C3" s="2"/>
      <c r="D3" s="2"/>
      <c r="E3" s="2"/>
      <c r="F3" s="23" t="s">
        <v>56</v>
      </c>
    </row>
    <row r="4" spans="1:6" ht="15.75" x14ac:dyDescent="0.25">
      <c r="A4" s="24"/>
      <c r="B4" s="2"/>
      <c r="C4" s="2"/>
      <c r="D4" s="2"/>
      <c r="E4" s="2"/>
      <c r="F4" s="2"/>
    </row>
    <row r="5" spans="1:6" ht="15.75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</row>
    <row r="6" spans="1:6" ht="15.75" x14ac:dyDescent="0.25">
      <c r="A6" s="25"/>
      <c r="B6" s="26"/>
      <c r="C6" s="26"/>
      <c r="D6" s="26"/>
      <c r="E6" s="26"/>
      <c r="F6" s="26"/>
    </row>
    <row r="7" spans="1:6" ht="18.75" x14ac:dyDescent="0.25">
      <c r="A7" s="211" t="s">
        <v>5</v>
      </c>
      <c r="B7" s="211"/>
      <c r="C7" s="211"/>
      <c r="D7" s="211"/>
      <c r="E7" s="211"/>
      <c r="F7" s="211"/>
    </row>
    <row r="8" spans="1:6" ht="18.75" x14ac:dyDescent="0.25">
      <c r="A8" s="59"/>
      <c r="B8" s="59"/>
      <c r="C8" s="59"/>
      <c r="D8" s="59"/>
      <c r="E8" s="59"/>
      <c r="F8" s="59"/>
    </row>
    <row r="9" spans="1:6" ht="15.75" x14ac:dyDescent="0.25">
      <c r="A9" s="212" t="s">
        <v>287</v>
      </c>
      <c r="B9" s="212"/>
      <c r="C9" s="212"/>
      <c r="D9" s="212"/>
      <c r="E9" s="212"/>
      <c r="F9" s="212"/>
    </row>
    <row r="10" spans="1:6" ht="15.75" x14ac:dyDescent="0.25">
      <c r="A10" s="213" t="s">
        <v>4</v>
      </c>
      <c r="B10" s="213"/>
      <c r="C10" s="213"/>
      <c r="D10" s="213"/>
      <c r="E10" s="213"/>
      <c r="F10" s="213"/>
    </row>
    <row r="11" spans="1:6" ht="18.75" x14ac:dyDescent="0.25">
      <c r="A11" s="59"/>
      <c r="B11" s="59"/>
      <c r="C11" s="59"/>
      <c r="D11" s="59"/>
      <c r="E11" s="59"/>
      <c r="F11" s="59"/>
    </row>
    <row r="12" spans="1:6" ht="15.75" x14ac:dyDescent="0.25">
      <c r="A12" s="212" t="str">
        <f>'1. паспорт местоположение'!A12:C12</f>
        <v>O_Che479_24</v>
      </c>
      <c r="B12" s="212"/>
      <c r="C12" s="212"/>
      <c r="D12" s="212"/>
      <c r="E12" s="212"/>
      <c r="F12" s="212"/>
    </row>
    <row r="13" spans="1:6" ht="15.75" x14ac:dyDescent="0.25">
      <c r="A13" s="213" t="s">
        <v>3</v>
      </c>
      <c r="B13" s="213"/>
      <c r="C13" s="213"/>
      <c r="D13" s="213"/>
      <c r="E13" s="213"/>
      <c r="F13" s="213"/>
    </row>
    <row r="14" spans="1:6" ht="18.75" x14ac:dyDescent="0.25">
      <c r="A14" s="60"/>
      <c r="B14" s="60"/>
      <c r="C14" s="60"/>
      <c r="D14" s="60"/>
      <c r="E14" s="60"/>
      <c r="F14" s="60"/>
    </row>
    <row r="15" spans="1:6" ht="61.5" customHeight="1" x14ac:dyDescent="0.25">
      <c r="A15" s="214" t="str">
        <f>'1. паспорт местоположение'!A15:C15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  <c r="D15" s="214"/>
      <c r="E15" s="214"/>
      <c r="F15" s="214"/>
    </row>
    <row r="16" spans="1:6" ht="15.75" x14ac:dyDescent="0.25">
      <c r="A16" s="213" t="s">
        <v>2</v>
      </c>
      <c r="B16" s="213"/>
      <c r="C16" s="213"/>
      <c r="D16" s="213"/>
      <c r="E16" s="213"/>
      <c r="F16" s="213"/>
    </row>
    <row r="17" spans="1:6" ht="18.75" x14ac:dyDescent="0.25">
      <c r="A17" s="58"/>
      <c r="B17" s="58"/>
      <c r="C17" s="58"/>
      <c r="D17" s="58"/>
      <c r="E17" s="58"/>
      <c r="F17" s="58"/>
    </row>
    <row r="18" spans="1:6" ht="18.75" x14ac:dyDescent="0.25">
      <c r="A18" s="223" t="s">
        <v>291</v>
      </c>
      <c r="B18" s="223"/>
      <c r="C18" s="223"/>
      <c r="D18" s="223"/>
      <c r="E18" s="223"/>
      <c r="F18" s="223"/>
    </row>
    <row r="19" spans="1:6" x14ac:dyDescent="0.25">
      <c r="A19" s="27"/>
      <c r="B19" s="27"/>
      <c r="C19" s="27"/>
      <c r="D19" s="27"/>
      <c r="E19" s="27"/>
      <c r="F19" s="27"/>
    </row>
    <row r="20" spans="1:6" ht="15.75" thickBot="1" x14ac:dyDescent="0.3">
      <c r="A20" s="27"/>
      <c r="B20" s="27"/>
      <c r="C20" s="27"/>
      <c r="D20" s="27"/>
      <c r="E20" s="27"/>
      <c r="F20" s="27"/>
    </row>
    <row r="21" spans="1:6" ht="15.75" x14ac:dyDescent="0.25">
      <c r="A21" s="27"/>
      <c r="B21" s="254" t="s">
        <v>292</v>
      </c>
      <c r="C21" s="255"/>
      <c r="D21" s="255"/>
      <c r="E21" s="256"/>
      <c r="F21" s="27"/>
    </row>
    <row r="22" spans="1:6" ht="15.75" x14ac:dyDescent="0.25">
      <c r="A22" s="27"/>
      <c r="B22" s="251" t="s">
        <v>293</v>
      </c>
      <c r="C22" s="252"/>
      <c r="D22" s="252" t="s">
        <v>294</v>
      </c>
      <c r="E22" s="253"/>
      <c r="F22" s="27"/>
    </row>
    <row r="23" spans="1:6" ht="63" x14ac:dyDescent="0.25">
      <c r="A23" s="27"/>
      <c r="B23" s="158" t="s">
        <v>295</v>
      </c>
      <c r="C23" s="159" t="s">
        <v>462</v>
      </c>
      <c r="D23" s="159" t="s">
        <v>296</v>
      </c>
      <c r="E23" s="160" t="s">
        <v>297</v>
      </c>
      <c r="F23" s="27"/>
    </row>
    <row r="24" spans="1:6" ht="16.5" thickBot="1" x14ac:dyDescent="0.3">
      <c r="A24" s="27"/>
      <c r="B24" s="161"/>
      <c r="C24" s="162"/>
      <c r="D24" s="163"/>
      <c r="E24" s="164"/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  <row r="31" spans="1:6" x14ac:dyDescent="0.25">
      <c r="A31" s="27"/>
      <c r="B31" s="27"/>
      <c r="C31" s="27"/>
      <c r="D31" s="27"/>
      <c r="E31" s="27"/>
      <c r="F31" s="27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5" zoomScale="55" zoomScaleNormal="100" zoomScaleSheetLayoutView="55" workbookViewId="0">
      <selection activeCell="K35" sqref="K35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2" t="s">
        <v>57</v>
      </c>
    </row>
    <row r="2" spans="1:44" ht="18.75" x14ac:dyDescent="0.3">
      <c r="L2" s="23" t="s">
        <v>6</v>
      </c>
    </row>
    <row r="3" spans="1:44" ht="18.75" x14ac:dyDescent="0.3">
      <c r="L3" s="23" t="s">
        <v>56</v>
      </c>
    </row>
    <row r="4" spans="1:44" ht="18.75" x14ac:dyDescent="0.3">
      <c r="K4" s="23"/>
    </row>
    <row r="5" spans="1:44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ht="18.75" x14ac:dyDescent="0.3">
      <c r="K6" s="23"/>
    </row>
    <row r="7" spans="1:44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44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</row>
    <row r="9" spans="1:44" x14ac:dyDescent="0.25">
      <c r="A9" s="212" t="str">
        <f>'3.3 паспорт описание'!A9:C9</f>
        <v>АО "Чеченэнерго"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0" spans="1:44" x14ac:dyDescent="0.25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</row>
    <row r="11" spans="1:44" x14ac:dyDescent="0.25">
      <c r="A11" s="240"/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44" x14ac:dyDescent="0.25">
      <c r="A12" s="212" t="str">
        <f>'3.3 паспорт описание'!A12:C12</f>
        <v>O_Che479_24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</row>
    <row r="13" spans="1:44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44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</row>
    <row r="15" spans="1:44" ht="30" customHeight="1" x14ac:dyDescent="0.25">
      <c r="A15" s="214" t="str">
        <f>'3.3 паспорт описание'!A15:C15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</row>
    <row r="16" spans="1:44" x14ac:dyDescent="0.25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</row>
    <row r="17" spans="1:12" ht="15.75" customHeight="1" x14ac:dyDescent="0.25">
      <c r="L17" s="189"/>
    </row>
    <row r="18" spans="1:12" x14ac:dyDescent="0.25">
      <c r="K18" s="6"/>
    </row>
    <row r="19" spans="1:12" ht="15.75" customHeight="1" x14ac:dyDescent="0.25">
      <c r="A19" s="269" t="s">
        <v>273</v>
      </c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</row>
    <row r="20" spans="1:12" x14ac:dyDescent="0.25">
      <c r="A20" s="62"/>
      <c r="B20" s="62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61" t="s">
        <v>158</v>
      </c>
      <c r="B21" s="261" t="s">
        <v>157</v>
      </c>
      <c r="C21" s="264" t="s">
        <v>219</v>
      </c>
      <c r="D21" s="265"/>
      <c r="E21" s="265"/>
      <c r="F21" s="265"/>
      <c r="G21" s="265"/>
      <c r="H21" s="266"/>
      <c r="I21" s="258" t="s">
        <v>156</v>
      </c>
      <c r="J21" s="258" t="s">
        <v>221</v>
      </c>
      <c r="K21" s="261" t="s">
        <v>155</v>
      </c>
      <c r="L21" s="270" t="s">
        <v>220</v>
      </c>
    </row>
    <row r="22" spans="1:12" ht="58.5" customHeight="1" x14ac:dyDescent="0.25">
      <c r="A22" s="262"/>
      <c r="B22" s="262"/>
      <c r="C22" s="267" t="s">
        <v>0</v>
      </c>
      <c r="D22" s="268"/>
      <c r="E22" s="15"/>
      <c r="F22" s="16"/>
      <c r="G22" s="267" t="str">
        <f>'6.2. Паспорт фин осв ввод'!D22</f>
        <v>Факт</v>
      </c>
      <c r="H22" s="268"/>
      <c r="I22" s="259"/>
      <c r="J22" s="259"/>
      <c r="K22" s="262"/>
      <c r="L22" s="271"/>
    </row>
    <row r="23" spans="1:12" ht="34.5" customHeight="1" x14ac:dyDescent="0.25">
      <c r="A23" s="263"/>
      <c r="B23" s="263"/>
      <c r="C23" s="11" t="s">
        <v>154</v>
      </c>
      <c r="D23" s="11" t="s">
        <v>153</v>
      </c>
      <c r="E23" s="11" t="s">
        <v>154</v>
      </c>
      <c r="F23" s="11" t="s">
        <v>153</v>
      </c>
      <c r="G23" s="11" t="s">
        <v>154</v>
      </c>
      <c r="H23" s="11" t="s">
        <v>153</v>
      </c>
      <c r="I23" s="260"/>
      <c r="J23" s="260"/>
      <c r="K23" s="263"/>
      <c r="L23" s="272"/>
    </row>
    <row r="24" spans="1:12" x14ac:dyDescent="0.25">
      <c r="A24" s="122">
        <v>1</v>
      </c>
      <c r="B24" s="122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  <c r="J24" s="11">
        <v>10</v>
      </c>
      <c r="K24" s="11">
        <v>11</v>
      </c>
      <c r="L24" s="11">
        <v>12</v>
      </c>
    </row>
    <row r="25" spans="1:12" s="32" customFormat="1" ht="31.5" x14ac:dyDescent="0.25">
      <c r="A25" s="123">
        <v>1</v>
      </c>
      <c r="B25" s="87" t="s">
        <v>152</v>
      </c>
      <c r="C25" s="30"/>
      <c r="D25" s="30"/>
      <c r="E25" s="30"/>
      <c r="F25" s="30"/>
      <c r="G25" s="30"/>
      <c r="H25" s="30"/>
      <c r="I25" s="30"/>
      <c r="J25" s="30"/>
      <c r="K25" s="4"/>
      <c r="L25" s="31"/>
    </row>
    <row r="26" spans="1:12" s="32" customFormat="1" ht="21.75" customHeight="1" x14ac:dyDescent="0.25">
      <c r="A26" s="123" t="s">
        <v>151</v>
      </c>
      <c r="B26" s="4" t="s">
        <v>226</v>
      </c>
      <c r="C26" s="152">
        <v>45020</v>
      </c>
      <c r="D26" s="152">
        <v>45020</v>
      </c>
      <c r="E26" s="34" t="s">
        <v>288</v>
      </c>
      <c r="F26" s="34" t="s">
        <v>288</v>
      </c>
      <c r="G26" s="152">
        <v>45020</v>
      </c>
      <c r="H26" s="152">
        <v>45020</v>
      </c>
      <c r="I26" s="35">
        <v>1</v>
      </c>
      <c r="J26" s="35" t="s">
        <v>300</v>
      </c>
      <c r="K26" s="35" t="s">
        <v>300</v>
      </c>
      <c r="L26" s="35" t="s">
        <v>300</v>
      </c>
    </row>
    <row r="27" spans="1:12" s="33" customFormat="1" ht="39" customHeight="1" x14ac:dyDescent="0.25">
      <c r="A27" s="123" t="s">
        <v>150</v>
      </c>
      <c r="B27" s="4" t="s">
        <v>228</v>
      </c>
      <c r="C27" s="152" t="s">
        <v>300</v>
      </c>
      <c r="D27" s="152" t="s">
        <v>300</v>
      </c>
      <c r="E27" s="34" t="s">
        <v>288</v>
      </c>
      <c r="F27" s="34" t="s">
        <v>288</v>
      </c>
      <c r="G27" s="152" t="s">
        <v>300</v>
      </c>
      <c r="H27" s="152" t="s">
        <v>300</v>
      </c>
      <c r="I27" s="35" t="s">
        <v>300</v>
      </c>
      <c r="J27" s="35" t="s">
        <v>300</v>
      </c>
      <c r="K27" s="35" t="s">
        <v>300</v>
      </c>
      <c r="L27" s="35" t="s">
        <v>300</v>
      </c>
    </row>
    <row r="28" spans="1:12" s="33" customFormat="1" ht="70.5" customHeight="1" x14ac:dyDescent="0.25">
      <c r="A28" s="123" t="s">
        <v>227</v>
      </c>
      <c r="B28" s="4" t="s">
        <v>232</v>
      </c>
      <c r="C28" s="152" t="s">
        <v>288</v>
      </c>
      <c r="D28" s="152" t="s">
        <v>288</v>
      </c>
      <c r="E28" s="34" t="s">
        <v>288</v>
      </c>
      <c r="F28" s="34" t="s">
        <v>288</v>
      </c>
      <c r="G28" s="152" t="s">
        <v>288</v>
      </c>
      <c r="H28" s="152" t="s">
        <v>288</v>
      </c>
      <c r="I28" s="35" t="s">
        <v>300</v>
      </c>
      <c r="J28" s="35" t="s">
        <v>300</v>
      </c>
      <c r="K28" s="35" t="s">
        <v>300</v>
      </c>
      <c r="L28" s="35" t="s">
        <v>300</v>
      </c>
    </row>
    <row r="29" spans="1:12" s="33" customFormat="1" ht="54" customHeight="1" x14ac:dyDescent="0.25">
      <c r="A29" s="123" t="s">
        <v>149</v>
      </c>
      <c r="B29" s="4" t="s">
        <v>231</v>
      </c>
      <c r="C29" s="152" t="s">
        <v>288</v>
      </c>
      <c r="D29" s="152" t="s">
        <v>288</v>
      </c>
      <c r="E29" s="34" t="s">
        <v>288</v>
      </c>
      <c r="F29" s="34" t="s">
        <v>288</v>
      </c>
      <c r="G29" s="152" t="s">
        <v>288</v>
      </c>
      <c r="H29" s="152" t="s">
        <v>288</v>
      </c>
      <c r="I29" s="35" t="s">
        <v>300</v>
      </c>
      <c r="J29" s="35" t="s">
        <v>300</v>
      </c>
      <c r="K29" s="35" t="s">
        <v>300</v>
      </c>
      <c r="L29" s="35" t="s">
        <v>300</v>
      </c>
    </row>
    <row r="30" spans="1:12" s="33" customFormat="1" ht="63.75" customHeight="1" x14ac:dyDescent="0.25">
      <c r="A30" s="123" t="s">
        <v>148</v>
      </c>
      <c r="B30" s="4" t="s">
        <v>233</v>
      </c>
      <c r="C30" s="152" t="s">
        <v>288</v>
      </c>
      <c r="D30" s="152" t="s">
        <v>288</v>
      </c>
      <c r="E30" s="30"/>
      <c r="F30" s="30"/>
      <c r="G30" s="152" t="s">
        <v>288</v>
      </c>
      <c r="H30" s="152" t="s">
        <v>288</v>
      </c>
      <c r="I30" s="35" t="s">
        <v>300</v>
      </c>
      <c r="J30" s="35" t="s">
        <v>300</v>
      </c>
      <c r="K30" s="35" t="s">
        <v>300</v>
      </c>
      <c r="L30" s="35" t="s">
        <v>300</v>
      </c>
    </row>
    <row r="31" spans="1:12" s="33" customFormat="1" ht="54" customHeight="1" x14ac:dyDescent="0.25">
      <c r="A31" s="123" t="s">
        <v>147</v>
      </c>
      <c r="B31" s="88" t="s">
        <v>229</v>
      </c>
      <c r="C31" s="152" t="s">
        <v>300</v>
      </c>
      <c r="D31" s="152" t="s">
        <v>300</v>
      </c>
      <c r="E31" s="30"/>
      <c r="F31" s="30"/>
      <c r="G31" s="322">
        <v>45329</v>
      </c>
      <c r="H31" s="322">
        <v>45329</v>
      </c>
      <c r="I31" s="323">
        <v>1</v>
      </c>
      <c r="J31" s="35" t="s">
        <v>300</v>
      </c>
      <c r="K31" s="35" t="s">
        <v>300</v>
      </c>
      <c r="L31" s="35" t="s">
        <v>300</v>
      </c>
    </row>
    <row r="32" spans="1:12" s="33" customFormat="1" ht="31.5" x14ac:dyDescent="0.25">
      <c r="A32" s="123" t="s">
        <v>145</v>
      </c>
      <c r="B32" s="88" t="s">
        <v>234</v>
      </c>
      <c r="C32" s="152" t="s">
        <v>300</v>
      </c>
      <c r="D32" s="152" t="s">
        <v>300</v>
      </c>
      <c r="E32" s="30"/>
      <c r="F32" s="30"/>
      <c r="G32" s="322">
        <v>45471</v>
      </c>
      <c r="H32" s="322">
        <v>45471</v>
      </c>
      <c r="I32" s="323">
        <v>1</v>
      </c>
      <c r="J32" s="35" t="s">
        <v>300</v>
      </c>
      <c r="K32" s="35" t="s">
        <v>300</v>
      </c>
      <c r="L32" s="35" t="s">
        <v>300</v>
      </c>
    </row>
    <row r="33" spans="1:12" s="33" customFormat="1" ht="41.25" customHeight="1" x14ac:dyDescent="0.25">
      <c r="A33" s="123" t="s">
        <v>245</v>
      </c>
      <c r="B33" s="88" t="s">
        <v>172</v>
      </c>
      <c r="C33" s="152" t="s">
        <v>300</v>
      </c>
      <c r="D33" s="152" t="s">
        <v>300</v>
      </c>
      <c r="E33" s="30"/>
      <c r="F33" s="30"/>
      <c r="G33" s="323" t="s">
        <v>300</v>
      </c>
      <c r="H33" s="323" t="s">
        <v>300</v>
      </c>
      <c r="I33" s="323" t="s">
        <v>300</v>
      </c>
      <c r="J33" s="35" t="s">
        <v>300</v>
      </c>
      <c r="K33" s="35" t="s">
        <v>300</v>
      </c>
      <c r="L33" s="35" t="s">
        <v>300</v>
      </c>
    </row>
    <row r="34" spans="1:12" s="33" customFormat="1" ht="47.25" customHeight="1" x14ac:dyDescent="0.25">
      <c r="A34" s="123" t="s">
        <v>246</v>
      </c>
      <c r="B34" s="88" t="s">
        <v>238</v>
      </c>
      <c r="C34" s="152" t="s">
        <v>300</v>
      </c>
      <c r="D34" s="152" t="s">
        <v>300</v>
      </c>
      <c r="E34" s="34" t="s">
        <v>288</v>
      </c>
      <c r="F34" s="34" t="s">
        <v>288</v>
      </c>
      <c r="G34" s="323" t="s">
        <v>300</v>
      </c>
      <c r="H34" s="323" t="s">
        <v>300</v>
      </c>
      <c r="I34" s="323" t="s">
        <v>300</v>
      </c>
      <c r="J34" s="35" t="s">
        <v>300</v>
      </c>
      <c r="K34" s="35" t="s">
        <v>300</v>
      </c>
      <c r="L34" s="35" t="s">
        <v>300</v>
      </c>
    </row>
    <row r="35" spans="1:12" s="33" customFormat="1" ht="49.5" customHeight="1" x14ac:dyDescent="0.25">
      <c r="A35" s="123" t="s">
        <v>247</v>
      </c>
      <c r="B35" s="88" t="s">
        <v>146</v>
      </c>
      <c r="C35" s="152" t="s">
        <v>300</v>
      </c>
      <c r="D35" s="152" t="s">
        <v>300</v>
      </c>
      <c r="E35" s="202"/>
      <c r="F35" s="202"/>
      <c r="G35" s="323" t="s">
        <v>300</v>
      </c>
      <c r="H35" s="323" t="s">
        <v>300</v>
      </c>
      <c r="I35" s="323" t="s">
        <v>300</v>
      </c>
      <c r="J35" s="35" t="s">
        <v>300</v>
      </c>
      <c r="K35" s="35" t="s">
        <v>300</v>
      </c>
      <c r="L35" s="35" t="s">
        <v>300</v>
      </c>
    </row>
    <row r="36" spans="1:12" s="32" customFormat="1" ht="37.5" customHeight="1" x14ac:dyDescent="0.25">
      <c r="A36" s="123" t="s">
        <v>248</v>
      </c>
      <c r="B36" s="88" t="s">
        <v>230</v>
      </c>
      <c r="C36" s="152" t="s">
        <v>300</v>
      </c>
      <c r="D36" s="152" t="s">
        <v>300</v>
      </c>
      <c r="E36" s="34">
        <v>42884</v>
      </c>
      <c r="F36" s="34">
        <v>42884</v>
      </c>
      <c r="G36" s="323" t="s">
        <v>300</v>
      </c>
      <c r="H36" s="323" t="s">
        <v>300</v>
      </c>
      <c r="I36" s="323" t="s">
        <v>300</v>
      </c>
      <c r="J36" s="35" t="s">
        <v>300</v>
      </c>
      <c r="K36" s="35" t="s">
        <v>300</v>
      </c>
      <c r="L36" s="35" t="s">
        <v>300</v>
      </c>
    </row>
    <row r="37" spans="1:12" s="32" customFormat="1" ht="27" customHeight="1" x14ac:dyDescent="0.25">
      <c r="A37" s="123" t="s">
        <v>249</v>
      </c>
      <c r="B37" s="88" t="s">
        <v>144</v>
      </c>
      <c r="C37" s="152" t="s">
        <v>300</v>
      </c>
      <c r="D37" s="152" t="s">
        <v>300</v>
      </c>
      <c r="E37" s="203"/>
      <c r="F37" s="202"/>
      <c r="G37" s="322">
        <f>G31</f>
        <v>45329</v>
      </c>
      <c r="H37" s="322">
        <f>H32</f>
        <v>45471</v>
      </c>
      <c r="I37" s="323">
        <v>1</v>
      </c>
      <c r="J37" s="35" t="s">
        <v>300</v>
      </c>
      <c r="K37" s="35" t="s">
        <v>300</v>
      </c>
      <c r="L37" s="35" t="s">
        <v>300</v>
      </c>
    </row>
    <row r="38" spans="1:12" s="32" customFormat="1" ht="30.75" customHeight="1" x14ac:dyDescent="0.25">
      <c r="A38" s="123" t="s">
        <v>250</v>
      </c>
      <c r="B38" s="87" t="s">
        <v>143</v>
      </c>
      <c r="C38" s="152" t="s">
        <v>300</v>
      </c>
      <c r="D38" s="152" t="s">
        <v>300</v>
      </c>
      <c r="E38" s="4"/>
      <c r="F38" s="4"/>
      <c r="G38" s="35" t="s">
        <v>300</v>
      </c>
      <c r="H38" s="35" t="s">
        <v>300</v>
      </c>
      <c r="I38" s="35" t="s">
        <v>300</v>
      </c>
      <c r="J38" s="35"/>
      <c r="K38" s="4"/>
      <c r="L38" s="4"/>
    </row>
    <row r="39" spans="1:12" s="32" customFormat="1" ht="78.75" x14ac:dyDescent="0.25">
      <c r="A39" s="123">
        <v>2</v>
      </c>
      <c r="B39" s="88" t="s">
        <v>235</v>
      </c>
      <c r="C39" s="152" t="s">
        <v>300</v>
      </c>
      <c r="D39" s="152" t="s">
        <v>300</v>
      </c>
      <c r="E39" s="4"/>
      <c r="F39" s="4"/>
      <c r="G39" s="35" t="s">
        <v>300</v>
      </c>
      <c r="H39" s="35" t="s">
        <v>300</v>
      </c>
      <c r="I39" s="35" t="s">
        <v>300</v>
      </c>
      <c r="J39" s="35" t="s">
        <v>300</v>
      </c>
      <c r="K39" s="35" t="s">
        <v>300</v>
      </c>
      <c r="L39" s="35" t="s">
        <v>300</v>
      </c>
    </row>
    <row r="40" spans="1:12" s="32" customFormat="1" ht="33.75" customHeight="1" x14ac:dyDescent="0.25">
      <c r="A40" s="123" t="s">
        <v>142</v>
      </c>
      <c r="B40" s="88" t="s">
        <v>237</v>
      </c>
      <c r="C40" s="152" t="s">
        <v>300</v>
      </c>
      <c r="D40" s="152" t="s">
        <v>300</v>
      </c>
      <c r="E40" s="4"/>
      <c r="F40" s="4"/>
      <c r="G40" s="35" t="s">
        <v>300</v>
      </c>
      <c r="H40" s="35" t="s">
        <v>300</v>
      </c>
      <c r="I40" s="35" t="s">
        <v>300</v>
      </c>
      <c r="J40" s="35" t="s">
        <v>300</v>
      </c>
      <c r="K40" s="35" t="s">
        <v>300</v>
      </c>
      <c r="L40" s="35" t="s">
        <v>300</v>
      </c>
    </row>
    <row r="41" spans="1:12" s="32" customFormat="1" ht="63" customHeight="1" x14ac:dyDescent="0.25">
      <c r="A41" s="123" t="s">
        <v>141</v>
      </c>
      <c r="B41" s="87" t="s">
        <v>286</v>
      </c>
      <c r="C41" s="152" t="s">
        <v>300</v>
      </c>
      <c r="D41" s="152" t="s">
        <v>300</v>
      </c>
      <c r="E41" s="4"/>
      <c r="F41" s="4"/>
      <c r="G41" s="35" t="s">
        <v>300</v>
      </c>
      <c r="H41" s="35" t="s">
        <v>300</v>
      </c>
      <c r="I41" s="35" t="s">
        <v>300</v>
      </c>
      <c r="J41" s="35"/>
      <c r="K41" s="4"/>
      <c r="L41" s="4"/>
    </row>
    <row r="42" spans="1:12" s="32" customFormat="1" ht="58.5" customHeight="1" x14ac:dyDescent="0.25">
      <c r="A42" s="123">
        <v>3</v>
      </c>
      <c r="B42" s="88" t="s">
        <v>236</v>
      </c>
      <c r="C42" s="152" t="s">
        <v>300</v>
      </c>
      <c r="D42" s="152" t="s">
        <v>300</v>
      </c>
      <c r="E42" s="4"/>
      <c r="F42" s="4"/>
      <c r="G42" s="35" t="s">
        <v>300</v>
      </c>
      <c r="H42" s="35" t="s">
        <v>300</v>
      </c>
      <c r="I42" s="35" t="s">
        <v>300</v>
      </c>
      <c r="J42" s="35" t="s">
        <v>300</v>
      </c>
      <c r="K42" s="35" t="s">
        <v>300</v>
      </c>
      <c r="L42" s="35" t="s">
        <v>300</v>
      </c>
    </row>
    <row r="43" spans="1:12" s="32" customFormat="1" ht="34.5" customHeight="1" x14ac:dyDescent="0.25">
      <c r="A43" s="123" t="s">
        <v>140</v>
      </c>
      <c r="B43" s="88" t="s">
        <v>138</v>
      </c>
      <c r="C43" s="152" t="s">
        <v>300</v>
      </c>
      <c r="D43" s="152" t="s">
        <v>300</v>
      </c>
      <c r="E43" s="4"/>
      <c r="F43" s="4"/>
      <c r="G43" s="35" t="s">
        <v>300</v>
      </c>
      <c r="H43" s="35" t="s">
        <v>300</v>
      </c>
      <c r="I43" s="35" t="s">
        <v>300</v>
      </c>
      <c r="J43" s="35" t="s">
        <v>300</v>
      </c>
      <c r="K43" s="35" t="s">
        <v>300</v>
      </c>
      <c r="L43" s="35" t="s">
        <v>300</v>
      </c>
    </row>
    <row r="44" spans="1:12" s="32" customFormat="1" ht="24.75" customHeight="1" x14ac:dyDescent="0.25">
      <c r="A44" s="123" t="s">
        <v>139</v>
      </c>
      <c r="B44" s="88" t="s">
        <v>136</v>
      </c>
      <c r="C44" s="152" t="s">
        <v>300</v>
      </c>
      <c r="D44" s="152" t="s">
        <v>300</v>
      </c>
      <c r="E44" s="4"/>
      <c r="F44" s="4"/>
      <c r="G44" s="35" t="s">
        <v>300</v>
      </c>
      <c r="H44" s="35" t="s">
        <v>300</v>
      </c>
      <c r="I44" s="35" t="s">
        <v>300</v>
      </c>
      <c r="J44" s="35" t="s">
        <v>300</v>
      </c>
      <c r="K44" s="35" t="s">
        <v>300</v>
      </c>
      <c r="L44" s="35" t="s">
        <v>300</v>
      </c>
    </row>
    <row r="45" spans="1:12" s="32" customFormat="1" ht="90.75" customHeight="1" x14ac:dyDescent="0.25">
      <c r="A45" s="123" t="s">
        <v>137</v>
      </c>
      <c r="B45" s="88" t="s">
        <v>241</v>
      </c>
      <c r="C45" s="152" t="s">
        <v>300</v>
      </c>
      <c r="D45" s="152" t="s">
        <v>300</v>
      </c>
      <c r="E45" s="34" t="s">
        <v>288</v>
      </c>
      <c r="F45" s="34" t="s">
        <v>288</v>
      </c>
      <c r="G45" s="35" t="s">
        <v>300</v>
      </c>
      <c r="H45" s="35" t="s">
        <v>300</v>
      </c>
      <c r="I45" s="35" t="s">
        <v>300</v>
      </c>
      <c r="J45" s="35" t="s">
        <v>300</v>
      </c>
      <c r="K45" s="35" t="s">
        <v>300</v>
      </c>
      <c r="L45" s="35" t="s">
        <v>300</v>
      </c>
    </row>
    <row r="46" spans="1:12" s="32" customFormat="1" ht="167.25" customHeight="1" x14ac:dyDescent="0.25">
      <c r="A46" s="123" t="s">
        <v>135</v>
      </c>
      <c r="B46" s="88" t="s">
        <v>239</v>
      </c>
      <c r="C46" s="152" t="s">
        <v>300</v>
      </c>
      <c r="D46" s="152" t="s">
        <v>300</v>
      </c>
      <c r="E46" s="34" t="s">
        <v>288</v>
      </c>
      <c r="F46" s="34" t="s">
        <v>288</v>
      </c>
      <c r="G46" s="35" t="s">
        <v>300</v>
      </c>
      <c r="H46" s="35" t="s">
        <v>300</v>
      </c>
      <c r="I46" s="35" t="s">
        <v>300</v>
      </c>
      <c r="J46" s="35" t="s">
        <v>300</v>
      </c>
      <c r="K46" s="35" t="s">
        <v>300</v>
      </c>
      <c r="L46" s="35" t="s">
        <v>300</v>
      </c>
    </row>
    <row r="47" spans="1:12" s="32" customFormat="1" ht="30.75" customHeight="1" x14ac:dyDescent="0.25">
      <c r="A47" s="123" t="s">
        <v>133</v>
      </c>
      <c r="B47" s="88" t="s">
        <v>134</v>
      </c>
      <c r="C47" s="152" t="s">
        <v>300</v>
      </c>
      <c r="D47" s="152" t="s">
        <v>300</v>
      </c>
      <c r="E47" s="4"/>
      <c r="F47" s="4"/>
      <c r="G47" s="35" t="s">
        <v>300</v>
      </c>
      <c r="H47" s="35" t="s">
        <v>300</v>
      </c>
      <c r="I47" s="35" t="s">
        <v>300</v>
      </c>
      <c r="J47" s="35" t="s">
        <v>300</v>
      </c>
      <c r="K47" s="35" t="s">
        <v>300</v>
      </c>
      <c r="L47" s="35" t="s">
        <v>300</v>
      </c>
    </row>
    <row r="48" spans="1:12" s="32" customFormat="1" ht="37.5" customHeight="1" x14ac:dyDescent="0.25">
      <c r="A48" s="123" t="s">
        <v>251</v>
      </c>
      <c r="B48" s="87" t="s">
        <v>132</v>
      </c>
      <c r="C48" s="152" t="s">
        <v>300</v>
      </c>
      <c r="D48" s="152" t="s">
        <v>300</v>
      </c>
      <c r="E48" s="4"/>
      <c r="F48" s="4"/>
      <c r="G48" s="35" t="s">
        <v>300</v>
      </c>
      <c r="H48" s="35" t="s">
        <v>300</v>
      </c>
      <c r="I48" s="35" t="s">
        <v>300</v>
      </c>
      <c r="J48" s="35"/>
      <c r="K48" s="4"/>
      <c r="L48" s="4"/>
    </row>
    <row r="49" spans="1:12" s="32" customFormat="1" ht="35.25" customHeight="1" x14ac:dyDescent="0.25">
      <c r="A49" s="123">
        <v>4</v>
      </c>
      <c r="B49" s="88" t="s">
        <v>130</v>
      </c>
      <c r="C49" s="152" t="s">
        <v>300</v>
      </c>
      <c r="D49" s="152" t="s">
        <v>300</v>
      </c>
      <c r="E49" s="4"/>
      <c r="F49" s="4"/>
      <c r="G49" s="35" t="s">
        <v>300</v>
      </c>
      <c r="H49" s="35" t="s">
        <v>300</v>
      </c>
      <c r="I49" s="35" t="s">
        <v>300</v>
      </c>
      <c r="J49" s="35" t="s">
        <v>300</v>
      </c>
      <c r="K49" s="35" t="s">
        <v>300</v>
      </c>
      <c r="L49" s="35" t="s">
        <v>300</v>
      </c>
    </row>
    <row r="50" spans="1:12" s="32" customFormat="1" ht="86.25" customHeight="1" x14ac:dyDescent="0.25">
      <c r="A50" s="123" t="s">
        <v>131</v>
      </c>
      <c r="B50" s="88" t="s">
        <v>240</v>
      </c>
      <c r="C50" s="152" t="s">
        <v>300</v>
      </c>
      <c r="D50" s="152" t="s">
        <v>300</v>
      </c>
      <c r="E50" s="35" t="s">
        <v>300</v>
      </c>
      <c r="F50" s="35" t="s">
        <v>300</v>
      </c>
      <c r="G50" s="35" t="s">
        <v>300</v>
      </c>
      <c r="H50" s="35" t="s">
        <v>300</v>
      </c>
      <c r="I50" s="35" t="s">
        <v>300</v>
      </c>
      <c r="J50" s="35" t="s">
        <v>300</v>
      </c>
      <c r="K50" s="35" t="s">
        <v>300</v>
      </c>
      <c r="L50" s="35" t="s">
        <v>300</v>
      </c>
    </row>
    <row r="51" spans="1:12" s="32" customFormat="1" ht="77.25" customHeight="1" x14ac:dyDescent="0.25">
      <c r="A51" s="123" t="s">
        <v>129</v>
      </c>
      <c r="B51" s="88" t="s">
        <v>242</v>
      </c>
      <c r="C51" s="152" t="s">
        <v>300</v>
      </c>
      <c r="D51" s="152" t="s">
        <v>300</v>
      </c>
      <c r="E51" s="34" t="s">
        <v>288</v>
      </c>
      <c r="F51" s="34" t="s">
        <v>288</v>
      </c>
      <c r="G51" s="35" t="s">
        <v>300</v>
      </c>
      <c r="H51" s="35" t="s">
        <v>300</v>
      </c>
      <c r="I51" s="35" t="s">
        <v>300</v>
      </c>
      <c r="J51" s="35" t="s">
        <v>300</v>
      </c>
      <c r="K51" s="35" t="s">
        <v>300</v>
      </c>
      <c r="L51" s="35" t="s">
        <v>300</v>
      </c>
    </row>
    <row r="52" spans="1:12" s="32" customFormat="1" ht="71.25" customHeight="1" x14ac:dyDescent="0.25">
      <c r="A52" s="123" t="s">
        <v>127</v>
      </c>
      <c r="B52" s="88" t="s">
        <v>128</v>
      </c>
      <c r="C52" s="152" t="s">
        <v>300</v>
      </c>
      <c r="D52" s="152" t="s">
        <v>300</v>
      </c>
      <c r="E52" s="34" t="s">
        <v>288</v>
      </c>
      <c r="F52" s="34" t="s">
        <v>288</v>
      </c>
      <c r="G52" s="35" t="s">
        <v>300</v>
      </c>
      <c r="H52" s="35" t="s">
        <v>300</v>
      </c>
      <c r="I52" s="35" t="s">
        <v>300</v>
      </c>
      <c r="J52" s="35" t="s">
        <v>300</v>
      </c>
      <c r="K52" s="35" t="s">
        <v>300</v>
      </c>
      <c r="L52" s="35" t="s">
        <v>300</v>
      </c>
    </row>
    <row r="53" spans="1:12" s="32" customFormat="1" ht="48" customHeight="1" x14ac:dyDescent="0.25">
      <c r="A53" s="123" t="s">
        <v>125</v>
      </c>
      <c r="B53" s="32" t="s">
        <v>243</v>
      </c>
      <c r="C53" s="152" t="s">
        <v>300</v>
      </c>
      <c r="D53" s="152" t="s">
        <v>300</v>
      </c>
      <c r="E53" s="35" t="s">
        <v>300</v>
      </c>
      <c r="F53" s="35" t="s">
        <v>300</v>
      </c>
      <c r="G53" s="35" t="s">
        <v>300</v>
      </c>
      <c r="H53" s="35" t="s">
        <v>300</v>
      </c>
      <c r="I53" s="35" t="s">
        <v>300</v>
      </c>
      <c r="J53" s="35" t="s">
        <v>300</v>
      </c>
      <c r="K53" s="35" t="s">
        <v>300</v>
      </c>
      <c r="L53" s="35" t="s">
        <v>300</v>
      </c>
    </row>
    <row r="54" spans="1:12" s="32" customFormat="1" ht="46.5" customHeight="1" x14ac:dyDescent="0.25">
      <c r="A54" s="123" t="s">
        <v>244</v>
      </c>
      <c r="B54" s="88" t="s">
        <v>126</v>
      </c>
      <c r="C54" s="152" t="s">
        <v>300</v>
      </c>
      <c r="D54" s="152" t="s">
        <v>300</v>
      </c>
      <c r="E54" s="4">
        <v>43458</v>
      </c>
      <c r="F54" s="4">
        <v>43458</v>
      </c>
      <c r="G54" s="35" t="s">
        <v>300</v>
      </c>
      <c r="H54" s="35" t="s">
        <v>300</v>
      </c>
      <c r="I54" s="35" t="s">
        <v>300</v>
      </c>
      <c r="J54" s="35" t="s">
        <v>300</v>
      </c>
      <c r="K54" s="35" t="s">
        <v>300</v>
      </c>
      <c r="L54" s="35" t="s">
        <v>300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2024-07-31T14:17:32Z</dcterms:modified>
</cp:coreProperties>
</file>